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350" windowHeight="12285" activeTab="0"/>
  </bookViews>
  <sheets>
    <sheet name="M&amp;O Core &amp; Service - Scientists" sheetId="1" r:id="rId1"/>
    <sheet name="Distributed Funding Model" sheetId="2" state="hidden" r:id="rId2"/>
  </sheets>
  <definedNames>
    <definedName name="_xlnm.Print_Area" localSheetId="0">'M&amp;O Core &amp; Service - Scientists'!$A$1:$V$206</definedName>
    <definedName name="_xlnm.Print_Titles" localSheetId="0">'M&amp;O Core &amp; Service - Scientists'!$B:$F,'M&amp;O Core &amp; Service - Scientists'!$2:$2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55" authorId="0">
      <text>
        <r>
          <rPr>
            <b/>
            <sz val="12"/>
            <rFont val="Tahoma"/>
            <family val="2"/>
          </rPr>
          <t xml:space="preserve"> :</t>
        </r>
        <r>
          <rPr>
            <sz val="12"/>
            <rFont val="Tahoma"/>
            <family val="2"/>
          </rPr>
          <t xml:space="preserve">
different than MoU (2.5)</t>
        </r>
      </text>
    </comment>
    <comment ref="E97" authorId="0">
      <text>
        <r>
          <rPr>
            <b/>
            <sz val="12"/>
            <rFont val="Tahoma"/>
            <family val="2"/>
          </rPr>
          <t>Different than MoU (1.5)</t>
        </r>
      </text>
    </comment>
  </commentList>
</comments>
</file>

<file path=xl/sharedStrings.xml><?xml version="1.0" encoding="utf-8"?>
<sst xmlns="http://schemas.openxmlformats.org/spreadsheetml/2006/main" count="471" uniqueCount="233">
  <si>
    <t>2.1 Program Management</t>
  </si>
  <si>
    <t>2.2 Detector Operations &amp; Maintenance</t>
  </si>
  <si>
    <t>2.3 Computing &amp; Data Management</t>
  </si>
  <si>
    <t>2.4 Triggering &amp; Filtering</t>
  </si>
  <si>
    <t>2.5 Data Quality, Reconstruction &amp; Simulation Tools</t>
  </si>
  <si>
    <t>(1). Chair of Publications Comm.</t>
  </si>
  <si>
    <t xml:space="preserve">(3). Simulation production </t>
  </si>
  <si>
    <t>(4). Chair of cascade working grp.</t>
  </si>
  <si>
    <t>(4). TFT member (Seckel, 0.1); atmospheric muon/minimum bias filter (Hussain, 0.15)</t>
  </si>
  <si>
    <t>note 1</t>
  </si>
  <si>
    <t>note 2</t>
  </si>
  <si>
    <t>note 3</t>
  </si>
  <si>
    <t>note 4</t>
  </si>
  <si>
    <t>note 5</t>
  </si>
  <si>
    <t>Total</t>
  </si>
  <si>
    <t>(1). Coordinate BMBF funding (Wiebusch, 0.1); R&amp;D (acoustic, 0.1)</t>
  </si>
  <si>
    <t>(1). (ExecCom member)</t>
  </si>
  <si>
    <t>(3). Simulation production</t>
  </si>
  <si>
    <t>(1). Member of ExecCom (Bertrand, 0.20); EMI / R&amp;D (Hanson, 0.1)</t>
  </si>
  <si>
    <t>(2). DAQ (Hanson, 0.2); Monitoring 0.03M</t>
  </si>
  <si>
    <t>(3). Maintain IceSim (Roucelle, 0.5); maintain simulation tools (0.2)</t>
  </si>
  <si>
    <t>(1). (R&amp;D, Acoustic)</t>
  </si>
  <si>
    <t>(1). Monitoring</t>
  </si>
  <si>
    <t>(2). LONI grid computing</t>
  </si>
  <si>
    <t>(1). EMI – radio R&amp;D
(2). Monitoring</t>
  </si>
  <si>
    <t>(2). Monitoring</t>
  </si>
  <si>
    <t>(2). Coordinate GRID computing in Germany (D. Pieloth, 0.25); sim-production, 0.4</t>
  </si>
  <si>
    <t>(1). Monitoring
(2). EHE-wg lead (Yoshida, 0.25); EHE filters (M. Ono, 0.15)</t>
  </si>
  <si>
    <t>(1). Monitoring
(2). Yellow Book</t>
  </si>
  <si>
    <t xml:space="preserve">US Institutions Subtotal </t>
  </si>
  <si>
    <t>Non-US Institutions Subtotal</t>
  </si>
  <si>
    <t>(3), Maintain Romeo; EHE simulation</t>
  </si>
  <si>
    <t xml:space="preserve">(1). Analysis Coordinator (Resconi, 0.5); </t>
  </si>
  <si>
    <t xml:space="preserve">(4). Reconstruction tools </t>
  </si>
  <si>
    <t>(1). 0.20 member ExecCom (Sullivan); 0.1 member pubcom (Olivas), 0.2 detector R&amp;D (Hoffman) 0.1 outreach (sullivan, goodman, ehrlich, blaufuss, hoffman)</t>
  </si>
  <si>
    <r>
      <t xml:space="preserve">(4). TFT chair (Blaufuss, 0.3 </t>
    </r>
    <r>
      <rPr>
        <b/>
        <sz val="10"/>
        <color indexed="18"/>
        <rFont val="Times New Roman"/>
        <family val="1"/>
      </rPr>
      <t>core</t>
    </r>
    <r>
      <rPr>
        <sz val="10"/>
        <color indexed="18"/>
        <rFont val="Times New Roman"/>
        <family val="1"/>
      </rPr>
      <t>) + 0.2 grad student; muon channel-wg chair (Hoffman 0.25), exotics-wg chair (Olivas 0.25)</t>
    </r>
  </si>
  <si>
    <t>(3) Core software, 0.75 grad student, 0.15 Blaufuss; Sim-prod, 0.25 grad student</t>
  </si>
  <si>
    <t>(2). Database Management</t>
  </si>
  <si>
    <t xml:space="preserve"> Students</t>
  </si>
  <si>
    <t xml:space="preserve"> Sc / Post Docs</t>
  </si>
  <si>
    <t xml:space="preserve"> Faculty</t>
  </si>
  <si>
    <t>US (FTE)</t>
  </si>
  <si>
    <t>Europe &amp; Asia Pacific</t>
  </si>
  <si>
    <t>(FTE)</t>
  </si>
  <si>
    <t>In-kind Totals</t>
  </si>
  <si>
    <t>Core</t>
  </si>
  <si>
    <t>Base Grants</t>
  </si>
  <si>
    <t>2.1 Management</t>
  </si>
  <si>
    <t>2.2 Detector M&amp;O</t>
  </si>
  <si>
    <t>2.5 Data Quality, Simulation and Reconstruction Tools</t>
  </si>
  <si>
    <t>In-kind Effort Still To Be Distributed</t>
  </si>
  <si>
    <t>Totals</t>
  </si>
  <si>
    <r>
      <t>(2). PnF, 0.2 (</t>
    </r>
    <r>
      <rPr>
        <b/>
        <sz val="10"/>
        <color indexed="18"/>
        <rFont val="Times New Roman"/>
        <family val="1"/>
      </rPr>
      <t>core</t>
    </r>
    <r>
      <rPr>
        <sz val="10"/>
        <color indexed="18"/>
        <rFont val="Times New Roman"/>
        <family val="1"/>
      </rPr>
      <t xml:space="preserve"> ); on-line filter testing, 0.25 grad student; 0.09M</t>
    </r>
  </si>
  <si>
    <t>Total US &amp; Non-US</t>
  </si>
  <si>
    <r>
      <t xml:space="preserve">(4). </t>
    </r>
    <r>
      <rPr>
        <sz val="10"/>
        <color indexed="18"/>
        <rFont val="Times New Roman"/>
        <family val="1"/>
      </rPr>
      <t>0.2 grad student; muon channel-wg chair (Hoffman 0.25), exotics-wg chair (Olivas 0.25)</t>
    </r>
  </si>
  <si>
    <t>(2). on-line filter testing, 0.25 grad student; 0.09M</t>
  </si>
  <si>
    <t>Ph.D. scientists</t>
  </si>
  <si>
    <t>Submitted 04/07/2009</t>
  </si>
  <si>
    <t>Updated 04/25/2009</t>
  </si>
  <si>
    <t>Faculty</t>
  </si>
  <si>
    <t>Grad Students</t>
  </si>
  <si>
    <t>Total FTE</t>
  </si>
  <si>
    <t>Monitoring</t>
  </si>
  <si>
    <t>Other</t>
  </si>
  <si>
    <t>Head Count</t>
  </si>
  <si>
    <t>Simulation Production</t>
  </si>
  <si>
    <t>Filters &amp; Triggers</t>
  </si>
  <si>
    <t>Grad Students - In Kind activities</t>
  </si>
  <si>
    <t>R&amp;D (Acoustic , Radio)</t>
  </si>
  <si>
    <t>Calibration</t>
  </si>
  <si>
    <t>Data Quality</t>
  </si>
  <si>
    <t>Core Software</t>
  </si>
  <si>
    <t>Supernova Operations</t>
  </si>
  <si>
    <t>Total In Kind FTE</t>
  </si>
  <si>
    <t>IN KIND ONLY - FTE by Labor Category</t>
  </si>
  <si>
    <t>Note i</t>
  </si>
  <si>
    <t>(i). Monitoring</t>
  </si>
  <si>
    <t>(i). Deep Core Filter 0.15, Monitoring 0.015</t>
  </si>
  <si>
    <t>(i). Monitoring 0.03, Deep Core triggers/filters (0.15), Development of starting track reconstruction (0.25),  IC40+TWR calibration &amp; data quality (0.3)</t>
  </si>
  <si>
    <t>(i). hole-ice (0.1)</t>
  </si>
  <si>
    <t>(i). Monitoring, IceTop Simulation Production (0.1)</t>
  </si>
  <si>
    <t>(i). on-line filter testing (0.25), Monitoring (0.06), Computing &amp; Data Mangement - Core Software (0.75), Simulation Production coordination(0.25), filter verification, filter development (0.2), Maintain Simulation Tools (0.25), Develop and test Reconstruction tools (0.25)</t>
  </si>
  <si>
    <t>(i). Monitoring (0.03),Maintain reconstruction framework (0.15); simulation production on cluster / Grid (0.3), Downgoing starting filter (0.15), Reconstruction &amp; Simulation Tools (0.45)</t>
  </si>
  <si>
    <t>(i). Monitoring (0.12),Maintain reconstruction framework &amp; Reconstruction Coordinator (acting) (0.15); simulation production cluster (0.25), R&amp;D Acoustic (0.1), Cascade filter (0.10), online filter for alerts (0.15), Reconstruction tools (0.1)</t>
  </si>
  <si>
    <t>(i). Monitoring (0.06), Simulation Tools (0.4)</t>
  </si>
  <si>
    <t>(i). Monitoring (0.03), Simulation Production (0.4)</t>
  </si>
  <si>
    <t>(i). SN operations (0.7), Monitoring (0.06), Simulation Production (0.4), reconstruction Tools (0.2)</t>
  </si>
  <si>
    <t>(i). Monitoring (0.06), Simulation Production (0.4), reconstruction &amp; Simulation Tools (0.4), R&amp;D Acoustic, Radio (0.1), Reconstruction Filter (0.15)</t>
  </si>
  <si>
    <t>(i). Monitoring (0.03)</t>
  </si>
  <si>
    <t>(i). Monitoring (0.045), maintain Simulation Tools (0.1)</t>
  </si>
  <si>
    <t>(i). 0.03M, Pole filter (0.15),</t>
  </si>
  <si>
    <t>(i). Monitoring (0.03), database Management (0.3)</t>
  </si>
  <si>
    <t>(i). Monitoring (0.02), Flasher Run (0.1), Data Quality (0.15)</t>
  </si>
  <si>
    <t>(i). Monitoring (0.03), EHE filters (0.15), maintain Simulation tools (0.2)</t>
  </si>
  <si>
    <t>(i). R&amp;D (0.05), monitoring (0.03), IceTop Simulation (0.1)</t>
  </si>
  <si>
    <t>(i). 0.03M, geometry calibration (0.13)</t>
  </si>
  <si>
    <t>(i).  0.03M</t>
  </si>
  <si>
    <t>(i). Verify on-line filters (0.15), 0.03M</t>
  </si>
  <si>
    <t xml:space="preserve">(i). DOM-Cal (0.4), Supernova operations (0.2), Monitoring (0.12), GRB Filter (0.15), IceTop Simulation Production (0.3), Maintain Simulation Software &amp; Tools (0.6), PHOTONICs tables (0.35), Stability (0.2), flasher calibration (0.2); Data Quality (0.25),  Reconstruction Tools (0.95), </t>
  </si>
  <si>
    <r>
      <t xml:space="preserve">Institution
</t>
    </r>
    <r>
      <rPr>
        <sz val="14"/>
        <rFont val="Times New Roman"/>
        <family val="1"/>
      </rPr>
      <t>(Lead)</t>
    </r>
  </si>
  <si>
    <t>Reconstruction Tools</t>
  </si>
  <si>
    <t>Simulation Tools</t>
  </si>
  <si>
    <t>Reconstruction Framework</t>
  </si>
  <si>
    <t>Scient. / Post Docs</t>
  </si>
  <si>
    <t>(2). Monitoring (3 weeks)</t>
  </si>
  <si>
    <t>(3). Maintain reconstruction framework (0.25); sim. production on cluster/Grid (0.95), Photonics production (Schukraft 0.25)</t>
  </si>
  <si>
    <t>(4). Downgoing starting filter (Huelss 0.15), Gal Cen Filter (Boersma 0.15)</t>
  </si>
  <si>
    <t>(5) New feature extractor (Wallraff 0.5), Recosnstruction software (0.3)</t>
  </si>
  <si>
    <t>(1). 0.15  for managing flasher runs and other calibrations (Dawn Williams); 0.03M, flasher analysis 0.25 (Donglian Xu), taking flasher runs 0.20 (Pavel Zarzhitsky)</t>
  </si>
  <si>
    <t>(2). Data Quality Lead 0.15 (Dawn Williams), Simulation verification 0.3 (P. Zarzhitzky)</t>
  </si>
  <si>
    <r>
      <t xml:space="preserve">University of  Alabama
</t>
    </r>
    <r>
      <rPr>
        <sz val="12"/>
        <rFont val="Times New Roman"/>
        <family val="1"/>
      </rPr>
      <t>(Dawn Williams)</t>
    </r>
  </si>
  <si>
    <r>
      <t xml:space="preserve">University of  Alaska
</t>
    </r>
    <r>
      <rPr>
        <sz val="12"/>
        <rFont val="Times New Roman"/>
        <family val="1"/>
      </rPr>
      <t>(Katherine Rawlins)</t>
    </r>
  </si>
  <si>
    <r>
      <t xml:space="preserve">Clark Atlanta
</t>
    </r>
    <r>
      <rPr>
        <sz val="12"/>
        <rFont val="Times New Roman"/>
        <family val="1"/>
      </rPr>
      <t xml:space="preserve">(George Japaridze) </t>
    </r>
  </si>
  <si>
    <r>
      <t xml:space="preserve">Georgia Tech
</t>
    </r>
    <r>
      <rPr>
        <sz val="12"/>
        <rFont val="Times New Roman"/>
        <family val="1"/>
      </rPr>
      <t xml:space="preserve">(Ignacio Taboada) </t>
    </r>
  </si>
  <si>
    <r>
      <t xml:space="preserve">LBNL
</t>
    </r>
    <r>
      <rPr>
        <sz val="12"/>
        <rFont val="Times New Roman"/>
        <family val="1"/>
      </rPr>
      <t>(Spencer Klein)</t>
    </r>
  </si>
  <si>
    <r>
      <t xml:space="preserve">Ohio State University
</t>
    </r>
    <r>
      <rPr>
        <sz val="12"/>
        <rFont val="Times New Roman"/>
        <family val="1"/>
      </rPr>
      <t>(James Beatty)</t>
    </r>
  </si>
  <si>
    <r>
      <t xml:space="preserve">Pennsylvania State University
</t>
    </r>
    <r>
      <rPr>
        <sz val="12"/>
        <rFont val="Times New Roman"/>
        <family val="1"/>
      </rPr>
      <t>(Doug Cowen)</t>
    </r>
  </si>
  <si>
    <r>
      <t xml:space="preserve">Southern University
</t>
    </r>
    <r>
      <rPr>
        <sz val="12"/>
        <rFont val="Times New Roman"/>
        <family val="1"/>
      </rPr>
      <t>(Ali Fazely)</t>
    </r>
  </si>
  <si>
    <r>
      <t xml:space="preserve">University of California, Berkeley
</t>
    </r>
    <r>
      <rPr>
        <sz val="12"/>
        <rFont val="Times New Roman"/>
        <family val="1"/>
      </rPr>
      <t>(Buford Price)</t>
    </r>
  </si>
  <si>
    <r>
      <t xml:space="preserve">University of California, Irvine
</t>
    </r>
    <r>
      <rPr>
        <sz val="12"/>
        <rFont val="Times New Roman"/>
        <family val="1"/>
      </rPr>
      <t>(Steve Barwick)</t>
    </r>
  </si>
  <si>
    <r>
      <t xml:space="preserve">University of Delaware
</t>
    </r>
    <r>
      <rPr>
        <sz val="12"/>
        <rFont val="Times New Roman"/>
        <family val="1"/>
      </rPr>
      <t>(Paul Evenson, acting for T. Gaisser)</t>
    </r>
  </si>
  <si>
    <r>
      <t xml:space="preserve">University of Kansas
</t>
    </r>
    <r>
      <rPr>
        <sz val="12"/>
        <rFont val="Times New Roman"/>
        <family val="1"/>
      </rPr>
      <t>(Dave Besson)</t>
    </r>
  </si>
  <si>
    <r>
      <t xml:space="preserve">University of Maryland
</t>
    </r>
    <r>
      <rPr>
        <sz val="12"/>
        <rFont val="Times New Roman"/>
        <family val="1"/>
      </rPr>
      <t>(Greg Sullivan)</t>
    </r>
  </si>
  <si>
    <r>
      <t xml:space="preserve">University of Wisconsin, Madison
</t>
    </r>
    <r>
      <rPr>
        <sz val="12"/>
        <rFont val="Times New Roman"/>
        <family val="1"/>
      </rPr>
      <t>(Albrecht Karle)</t>
    </r>
  </si>
  <si>
    <r>
      <t xml:space="preserve">RWTH Aachen
</t>
    </r>
    <r>
      <rPr>
        <sz val="12"/>
        <rFont val="Times New Roman"/>
        <family val="1"/>
      </rPr>
      <t xml:space="preserve">(Christopher Wiebusch) </t>
    </r>
  </si>
  <si>
    <r>
      <t xml:space="preserve">DESY-Zeuthen
</t>
    </r>
    <r>
      <rPr>
        <sz val="12"/>
        <rFont val="Times New Roman"/>
        <family val="1"/>
      </rPr>
      <t xml:space="preserve">(Christian Spiering) </t>
    </r>
  </si>
  <si>
    <r>
      <t xml:space="preserve">Stockholm University
</t>
    </r>
    <r>
      <rPr>
        <sz val="12"/>
        <rFont val="Times New Roman"/>
        <family val="1"/>
      </rPr>
      <t xml:space="preserve">(Per Olof Hulth) </t>
    </r>
  </si>
  <si>
    <r>
      <t xml:space="preserve">Universität Dortmund
</t>
    </r>
    <r>
      <rPr>
        <sz val="12"/>
        <rFont val="Times New Roman"/>
        <family val="1"/>
      </rPr>
      <t xml:space="preserve">(Wolfgang Rhode) </t>
    </r>
  </si>
  <si>
    <r>
      <t xml:space="preserve">Universität Mainz
</t>
    </r>
    <r>
      <rPr>
        <sz val="12"/>
        <rFont val="Times New Roman"/>
        <family val="1"/>
      </rPr>
      <t xml:space="preserve">(Lutz Köpke) </t>
    </r>
  </si>
  <si>
    <r>
      <t xml:space="preserve">Universität Wuppertal
</t>
    </r>
    <r>
      <rPr>
        <sz val="12"/>
        <rFont val="Times New Roman"/>
        <family val="1"/>
      </rPr>
      <t xml:space="preserve">(Klaus Helbing) </t>
    </r>
  </si>
  <si>
    <r>
      <t xml:space="preserve">Universite Libre de Bruxelles
</t>
    </r>
    <r>
      <rPr>
        <sz val="12"/>
        <rFont val="Times New Roman"/>
        <family val="1"/>
      </rPr>
      <t xml:space="preserve">(Daniel Bertrand) </t>
    </r>
  </si>
  <si>
    <r>
      <t xml:space="preserve">MPI Heidelberg
</t>
    </r>
    <r>
      <rPr>
        <sz val="12"/>
        <rFont val="Times New Roman"/>
        <family val="1"/>
      </rPr>
      <t>(Elisa Resconi)</t>
    </r>
  </si>
  <si>
    <r>
      <t xml:space="preserve">Humboldt Universität Berlin
</t>
    </r>
    <r>
      <rPr>
        <sz val="12"/>
        <rFont val="Times New Roman"/>
        <family val="1"/>
      </rPr>
      <t>(Hermann Kolanoski)</t>
    </r>
  </si>
  <si>
    <r>
      <t xml:space="preserve">Universite de Mons-Hainaut
</t>
    </r>
    <r>
      <rPr>
        <sz val="12"/>
        <rFont val="Times New Roman"/>
        <family val="1"/>
      </rPr>
      <t xml:space="preserve">(Philippe Herquet) </t>
    </r>
  </si>
  <si>
    <r>
      <t xml:space="preserve">University of Canterbury
</t>
    </r>
    <r>
      <rPr>
        <sz val="12"/>
        <rFont val="Times New Roman"/>
        <family val="1"/>
      </rPr>
      <t>(Jenni Adams)</t>
    </r>
  </si>
  <si>
    <r>
      <t xml:space="preserve">Chiba University
</t>
    </r>
    <r>
      <rPr>
        <sz val="12"/>
        <rFont val="Times New Roman"/>
        <family val="1"/>
      </rPr>
      <t xml:space="preserve">(Shigeru Yoshida) </t>
    </r>
  </si>
  <si>
    <r>
      <t xml:space="preserve">University of Gent
</t>
    </r>
    <r>
      <rPr>
        <sz val="12"/>
        <rFont val="Times New Roman"/>
        <family val="1"/>
      </rPr>
      <t xml:space="preserve">(Dirk Ryckbosch) </t>
    </r>
  </si>
  <si>
    <r>
      <t xml:space="preserve">Uppsala University
</t>
    </r>
    <r>
      <rPr>
        <sz val="12"/>
        <rFont val="Times New Roman"/>
        <family val="1"/>
      </rPr>
      <t xml:space="preserve">(Olga Botner) </t>
    </r>
  </si>
  <si>
    <r>
      <t xml:space="preserve">Vrije Universiteit Brussel
</t>
    </r>
    <r>
      <rPr>
        <sz val="12"/>
        <rFont val="Times New Roman"/>
        <family val="1"/>
      </rPr>
      <t xml:space="preserve">(Catherine de Clercq) </t>
    </r>
  </si>
  <si>
    <r>
      <t xml:space="preserve">University of Oxford
</t>
    </r>
    <r>
      <rPr>
        <sz val="12"/>
        <rFont val="Times New Roman"/>
        <family val="1"/>
      </rPr>
      <t xml:space="preserve">(Subir Sarkar) </t>
    </r>
  </si>
  <si>
    <r>
      <t xml:space="preserve">Ecole Polytechnique Federale de Lausanne </t>
    </r>
    <r>
      <rPr>
        <sz val="12"/>
        <rFont val="Times New Roman"/>
        <family val="1"/>
      </rPr>
      <t xml:space="preserve">(Mathieu Ribordy) </t>
    </r>
  </si>
  <si>
    <r>
      <t xml:space="preserve">Universität Bonn
</t>
    </r>
    <r>
      <rPr>
        <sz val="12"/>
        <color indexed="10"/>
        <rFont val="Times New Roman"/>
        <family val="1"/>
      </rPr>
      <t>(Marek Kowalski)</t>
    </r>
  </si>
  <si>
    <t>(1). Kowalski (pubcom member, 0.1; Host Fall 2009 Collab. Meeting, 0.1)</t>
  </si>
  <si>
    <t>(3). Kowalski (point source wg co-lead, 0.25 and TFT board member, 0.1); IC59 pole filter (Sebastian, 0.05), Alert system for follow-up (Franckowiak, 0.2)</t>
  </si>
  <si>
    <t>(4) Reconstruction tools</t>
  </si>
  <si>
    <t>(1). Flasher Runs (student 0.1); Monitoring (0.02)</t>
  </si>
  <si>
    <t>(2). Andreas Gross “low-level analysis” coordination role</t>
  </si>
  <si>
    <t>(2). DAQ firmware support, 0.30; 0.18M, Deputy monitoring coordinator (0.2), Flasher analysis (0.1, in 2010: 0.2), decommissioning Amanda (0.1)</t>
  </si>
  <si>
    <t>(4). Cascade filter  (IC59 Eike Middell 0.10), online filter for alerts (Robert Franke 0.15), rate data bank South Pole (0.1)</t>
  </si>
  <si>
    <t>(1). member exec-com (Spiering 0.2); R&amp;D (acoustic, 0.1); Host Fall 2009 Collaboration Meeting (share with Humboldt, 0.1);</t>
  </si>
  <si>
    <t>(3). Maintain reconstruction framework (0.25); sim production cluster (0.5); European data center (1.6)</t>
  </si>
  <si>
    <t>(5).Cascade reco (Middell, 0.1), IceTop calibration (Berghaus, 0.2)</t>
  </si>
  <si>
    <t>(3). (Support IceTop sims, IceTop calibrations, IceTop reconstruction)</t>
  </si>
  <si>
    <t>(1) Chair of speakers’ committee</t>
  </si>
  <si>
    <t>(2) Standard Candle Vertex and Energy Calibration  (Tooker 0.4), 0.03M</t>
  </si>
  <si>
    <t>(4) GRB working group lead</t>
  </si>
  <si>
    <t>(3) Simulation Production (Tepe 0.2 - starts on September 2009)</t>
  </si>
  <si>
    <t>(2). Monitoring, 0.045M</t>
  </si>
  <si>
    <t>(3). Data quality, Deep Core (0.6)</t>
  </si>
  <si>
    <t>(1). Host Fall 2009 Collaboration Meeting (0.4)</t>
  </si>
  <si>
    <t xml:space="preserve">(3). Waldenmaier (cr-wg lead, 0.25, cr-wg filter 0.15, ICC member for reconstruction 0.15) </t>
  </si>
  <si>
    <r>
      <t xml:space="preserve">Universität Bochum
</t>
    </r>
    <r>
      <rPr>
        <sz val="12"/>
        <color indexed="10"/>
        <rFont val="Times New Roman"/>
        <family val="1"/>
      </rPr>
      <t>(Julia Becker)</t>
    </r>
  </si>
  <si>
    <t>(1) Member of publication committee (Becker)</t>
  </si>
  <si>
    <t>(3) Update MMC from Java to C++ (Dreyer, Olivo)</t>
  </si>
  <si>
    <t>(5) Stijn Buitink to take over DOM simulator &amp; calibrator; Klein diffuse co-chair pro-tem</t>
  </si>
  <si>
    <r>
      <t xml:space="preserve">(2). Run Coordinator (A. Goldschmidt, </t>
    </r>
    <r>
      <rPr>
        <b/>
        <sz val="10"/>
        <color indexed="18"/>
        <rFont val="Times New Roman"/>
        <family val="1"/>
      </rPr>
      <t>0.5, core</t>
    </r>
    <r>
      <rPr>
        <sz val="10"/>
        <color indexed="18"/>
        <rFont val="Times New Roman"/>
        <family val="1"/>
      </rPr>
      <t>); BadDomList (J. Kiryluk, 0.2); Flasher Runs (J. Kiryluk 0.1);  Monitoring (M) 0.09 , Track Engine Trigger (0.1), DAQ Software Systems (Keith B 0.15 core in FY10 only)</t>
    </r>
  </si>
  <si>
    <t>(2). Monitoring, (0.06)</t>
  </si>
  <si>
    <t>(3). Grid/simulation production and development Johansson (0.20), general GRID service (0.50)</t>
  </si>
  <si>
    <t>(4). Filters develop and verify. Danninger and Johansson (025), Seo (0.05), WG lead Low energy DeepCore Hulth (0.25), WG lead Finely (0.25)</t>
  </si>
  <si>
    <t>(5). Photonics/simulation Hultqvist (0.15) Seo (0.15), Walck (0.05)</t>
  </si>
  <si>
    <t>(1). Hulth EXEC (0.2), ICB (0.05), outreach (0.15), Walck Publicationlists / author lists (0.10), coordination with LIGO (Finley, 0.10)</t>
  </si>
  <si>
    <t>(2). SN operations 0.5 + 0.2   (0.5 Gösta and 0.2 Florian, Monitoring ), 0.3M, (M=monitoring includes grad student to UCB 4 weeks to work with Filimonov)</t>
  </si>
  <si>
    <t>(2). Simulation production</t>
  </si>
  <si>
    <t>(3). verify filters</t>
  </si>
  <si>
    <t>(1). ExecCom member (Cowen, 0.2); outreach (Cowen 0.05, DeYoung 0.05)</t>
  </si>
  <si>
    <t>(4). Tau working group lead (Cowen, 0.25); TFT Board member (Cowen, 0.1); develop and verify Deep Core filters (Koskinen + Adams, 0.35)</t>
  </si>
  <si>
    <t>(5). Development of starting track reconstruction (Lafebre + Dunkman, 0.25); coordinate Deep Core reconstruction for production (Lafebre + Adams, 0.12); maintain tau simulation tools (Toale, 0.1)</t>
  </si>
  <si>
    <t>(2). monitoring shifts (0.06)</t>
  </si>
  <si>
    <t>(3). simulation production (Lafebre + Dunkman, 0.33)</t>
  </si>
  <si>
    <t>(3). CORSIKA for IceCube / IceTop; GEANT for IceCube</t>
  </si>
  <si>
    <t>(1). Member speakers comm. (Woschnagg, 0.1); lead group, supervise students, budgeting, monthly accounting, run spokesperson elections (Price, 0.1)</t>
  </si>
  <si>
    <t>(2). Coordinate monitoring (Filimonov, 0.5); calibration lead (Woschnagg, 0.15); calibration (student, 0.1); 0.03M</t>
  </si>
  <si>
    <t xml:space="preserve">(3). Chair diffuse/atmos nu WG (Woschnagg, 0.25); </t>
  </si>
  <si>
    <t>(1). 0.3 for Spokesperson (Gaisser)</t>
  </si>
  <si>
    <t>(3). 0.45 IceTopsim. prod.</t>
  </si>
  <si>
    <t>(5). Reconstruction tools</t>
  </si>
  <si>
    <r>
      <t>(2). IceTop operations (</t>
    </r>
    <r>
      <rPr>
        <b/>
        <sz val="10"/>
        <color indexed="18"/>
        <rFont val="Times New Roman"/>
        <family val="1"/>
      </rPr>
      <t>1.0 core</t>
    </r>
    <r>
      <rPr>
        <sz val="10"/>
        <color indexed="18"/>
        <rFont val="Times New Roman"/>
        <family val="1"/>
      </rPr>
      <t xml:space="preserve"> ); 0.3 Monitoring (inc. 0.25 Kuwabara)</t>
    </r>
  </si>
  <si>
    <t>(2). 0.3 Monitoring (inc. 0.25 Kuwabara)</t>
  </si>
  <si>
    <t>(3). The I3OmDb will remain for 2009-2010 as Mons responsibility.  However, some transfer of knowledge required for DB coordination will take place (0.2, Post-doc); 0.3 compute cluster - simulation</t>
  </si>
  <si>
    <t>(4). (0.1 TFT board, Hanson) (0.1 Study of tau filters at the Pole)</t>
  </si>
  <si>
    <t>(1). PubCom member (Botner 0.1); SpeakersCom member (Hallgren 0.1), Acoustics R&amp;D (Hallgren 0.2), Outreach (Botner, Hallgren 0.1)</t>
  </si>
  <si>
    <t>(2). Monitoring, 0.03M</t>
  </si>
  <si>
    <t>(3). de los Heros (WIMP-wg lead, 0.25; TFT board member, 0.1); online filter development and testing 0.15 (Engdegard)</t>
  </si>
  <si>
    <t xml:space="preserve">(4).  TFT board member (Montaruli 0.1); SN-wg chair (Maruyama 0.25); Deep Core online filter (Gladstone 0.15), muon filter (Aguilar 0.15), Cascade Online filter (Toscana 0.15); GRB filter (Whitehorn, 0.15), </t>
  </si>
  <si>
    <r>
      <t xml:space="preserve">(1). Principle Investigator (Halzen </t>
    </r>
    <r>
      <rPr>
        <b/>
        <sz val="10"/>
        <color indexed="18"/>
        <rFont val="Times New Roman"/>
        <family val="1"/>
      </rPr>
      <t>0.08 core</t>
    </r>
    <r>
      <rPr>
        <sz val="10"/>
        <color indexed="18"/>
        <rFont val="Times New Roman"/>
        <family val="1"/>
      </rPr>
      <t xml:space="preserve"> + 0.33), Associate director for science (Karle </t>
    </r>
    <r>
      <rPr>
        <b/>
        <sz val="10"/>
        <color indexed="18"/>
        <rFont val="Times New Roman"/>
        <family val="1"/>
      </rPr>
      <t>0.08 core</t>
    </r>
    <r>
      <rPr>
        <sz val="10"/>
        <color indexed="18"/>
        <rFont val="Times New Roman"/>
        <family val="1"/>
      </rPr>
      <t xml:space="preserve"> + 0.33); member of pubcom (Westerhoff, 0.1); Scientist for R&amp;D (Landsman </t>
    </r>
    <r>
      <rPr>
        <b/>
        <sz val="10"/>
        <color indexed="18"/>
        <rFont val="Times New Roman"/>
        <family val="1"/>
      </rPr>
      <t>0.25 core</t>
    </r>
    <r>
      <rPr>
        <sz val="10"/>
        <color indexed="18"/>
        <rFont val="Times New Roman"/>
        <family val="1"/>
      </rPr>
      <t xml:space="preserve">) , Weekly call coordinator, ICC member (Hill 0.2); Host Spring 2009 Collaboration meeting (0.5); </t>
    </r>
  </si>
  <si>
    <r>
      <t xml:space="preserve">(2). DOM-Cal maintenance (Wendt </t>
    </r>
    <r>
      <rPr>
        <b/>
        <sz val="10"/>
        <color indexed="18"/>
        <rFont val="Times New Roman"/>
        <family val="1"/>
      </rPr>
      <t>0.25 core</t>
    </r>
    <r>
      <rPr>
        <sz val="10"/>
        <color indexed="18"/>
        <rFont val="Times New Roman"/>
        <family val="1"/>
      </rPr>
      <t xml:space="preserve">, Weaver 0.20), Stability (Baker 0.2), Flasher Calibration (Wendt </t>
    </r>
    <r>
      <rPr>
        <b/>
        <sz val="10"/>
        <color indexed="18"/>
        <rFont val="Times New Roman"/>
        <family val="1"/>
      </rPr>
      <t>0.35 core,</t>
    </r>
    <r>
      <rPr>
        <sz val="10"/>
        <color indexed="18"/>
        <rFont val="Times New Roman"/>
        <family val="1"/>
      </rPr>
      <t xml:space="preserve"> Santander 0.2); Poton prop. Calibration (Hoshina 0.1), Moon shadow calibration (Gladstone 0.15), 0.24M</t>
    </r>
  </si>
  <si>
    <r>
      <t xml:space="preserve">(3). Cascade data processing (Toscana 0.35), Simulation Production Coordinator (Desiati </t>
    </r>
    <r>
      <rPr>
        <b/>
        <sz val="10"/>
        <color indexed="18"/>
        <rFont val="Times New Roman"/>
        <family val="1"/>
      </rPr>
      <t>0.70 core</t>
    </r>
    <r>
      <rPr>
        <sz val="10"/>
        <color indexed="18"/>
        <rFont val="Times New Roman"/>
        <family val="1"/>
      </rPr>
      <t>),  IceTop Simulation Production (Eisch 0.3)</t>
    </r>
  </si>
  <si>
    <r>
      <t xml:space="preserve">(5). Simulation programs: Photon Propagation simulation (Hill </t>
    </r>
    <r>
      <rPr>
        <b/>
        <sz val="10"/>
        <color indexed="18"/>
        <rFont val="Times New Roman"/>
        <family val="1"/>
      </rPr>
      <t>0.25 core</t>
    </r>
    <r>
      <rPr>
        <sz val="10"/>
        <color indexed="18"/>
        <rFont val="Times New Roman"/>
        <family val="1"/>
      </rPr>
      <t>), DST data checking (Abbasi 0.10), Moun data verification (Aguilar 0.10), Maintain IceSim (Postdoc 0.4), Photonics tables (Whitehorn 0.10), Flasher analysis (Santander 0.15)
Reconstruction &amp; Analysis Tools: Direct photon tracking , FE/pulse extractor ; reco software (Chirkin 0.50), Reconstruction Tools (Dumm 0.15, Grullon 0.25), SN Simulation / moun energy reconstruction (Rodrgues 0.20), 
Offline Data Processing: (Hill</t>
    </r>
    <r>
      <rPr>
        <b/>
        <sz val="10"/>
        <color indexed="18"/>
        <rFont val="Times New Roman"/>
        <family val="1"/>
      </rPr>
      <t xml:space="preserve"> 0.25 core</t>
    </r>
    <r>
      <rPr>
        <sz val="10"/>
        <color indexed="18"/>
        <rFont val="Times New Roman"/>
        <family val="1"/>
      </rPr>
      <t xml:space="preserve">, Dumm 0.15) </t>
    </r>
  </si>
  <si>
    <r>
      <t xml:space="preserve">(1). Principle Investigator (Halzen </t>
    </r>
    <r>
      <rPr>
        <sz val="10"/>
        <color indexed="18"/>
        <rFont val="Times New Roman"/>
        <family val="1"/>
      </rPr>
      <t xml:space="preserve">0.33), Associate director for science (Karle </t>
    </r>
    <r>
      <rPr>
        <sz val="10"/>
        <color indexed="18"/>
        <rFont val="Times New Roman"/>
        <family val="1"/>
      </rPr>
      <t xml:space="preserve">0.33); member of pubcom (Westerhoff, 0.1); </t>
    </r>
    <r>
      <rPr>
        <sz val="10"/>
        <color indexed="18"/>
        <rFont val="Times New Roman"/>
        <family val="1"/>
      </rPr>
      <t xml:space="preserve"> Weekly call coordinator, ICC member (Hill 0.2); Host Spring 2009 Collaboration meeting (0.5); </t>
    </r>
  </si>
  <si>
    <r>
      <t>(2). DOM-Cal maintenance (</t>
    </r>
    <r>
      <rPr>
        <sz val="10"/>
        <color indexed="18"/>
        <rFont val="Times New Roman"/>
        <family val="1"/>
      </rPr>
      <t>Weaver 0.20), Stability (Baker 0.2), Flasher Calibration (</t>
    </r>
    <r>
      <rPr>
        <sz val="10"/>
        <color indexed="18"/>
        <rFont val="Times New Roman"/>
        <family val="1"/>
      </rPr>
      <t>Santander 0.2); Poton prop. Calibration (Hoshina 0.1), Moon shadow calibration (Gladstone 0.15), 0.24M</t>
    </r>
  </si>
  <si>
    <r>
      <t xml:space="preserve">(3). Cascade data processing (Toscana 0.35), </t>
    </r>
    <r>
      <rPr>
        <sz val="10"/>
        <color indexed="18"/>
        <rFont val="Times New Roman"/>
        <family val="1"/>
      </rPr>
      <t xml:space="preserve"> IceTop Simulation Production (Eisch 0.3)</t>
    </r>
  </si>
  <si>
    <t xml:space="preserve">(5). Simulation programs: DST data checking (Abbasi 0.10), Moun data verification (Aguilar 0.10), Maintain IceSim (Postdoc 0.4), Photonics tables (Whitehorn 0.10), Flasher analysis (Santander 0.15)
Reconstruction &amp; Analysis Tools: Direct photon tracking , FE/pulse extractor ; reco software (Chirkin 0.50), Reconstruction Tools (Dumm 0.15, Grullon 0.25), SN Simulation / moun energy reconstruction (Rodrgues 0.20), 
Offline Data Processing: (Dumm 0.15) </t>
  </si>
  <si>
    <t>(1). 0.10  Teachers’ program and UWRF Upward Bound (Madsen),  0.15 Undergraduate research (Madsen, Spiczak, Tamburro, AbuZayyad)</t>
  </si>
  <si>
    <t>(2). 0.05  IceTop tank Monitoring (Spiczak, Tamburro)</t>
  </si>
  <si>
    <t>(3) 0.6   Cosmic ray shower simulations and reconstruction, TankTop simulations, Photon transport in-ice (Madsen, Tamburro, AbuZayyad)</t>
  </si>
  <si>
    <t>M&amp;O CORE &amp; SERVICE WORK</t>
  </si>
  <si>
    <t>SERVICE WORK ONLY</t>
  </si>
  <si>
    <t>Funding Agency</t>
  </si>
  <si>
    <t>NSF</t>
  </si>
  <si>
    <t>BMBF</t>
  </si>
  <si>
    <t>DESY</t>
  </si>
  <si>
    <t>SNSF</t>
  </si>
  <si>
    <t>SRC</t>
  </si>
  <si>
    <t>FNRS</t>
  </si>
  <si>
    <t>DFG</t>
  </si>
  <si>
    <t>JSPS</t>
  </si>
  <si>
    <t>FWO</t>
  </si>
  <si>
    <t>STFC</t>
  </si>
  <si>
    <r>
      <t xml:space="preserve">University of Wisconsin, River Falls </t>
    </r>
    <r>
      <rPr>
        <sz val="12"/>
        <rFont val="Times New Roman"/>
        <family val="1"/>
      </rPr>
      <t>(Jim Madsen)</t>
    </r>
  </si>
  <si>
    <t>(1). Acoustic R&amp;D, 0.1</t>
  </si>
  <si>
    <t>(2). 0.03M</t>
  </si>
  <si>
    <t>(3). SLF, LE, E recos (development)</t>
  </si>
  <si>
    <r>
      <t xml:space="preserve">(2). Trigger software </t>
    </r>
    <r>
      <rPr>
        <b/>
        <sz val="10"/>
        <color indexed="18"/>
        <rFont val="Times New Roman"/>
        <family val="1"/>
      </rPr>
      <t>(Toale, 0.15 core</t>
    </r>
    <r>
      <rPr>
        <sz val="10"/>
        <color indexed="18"/>
        <rFont val="Times New Roman"/>
        <family val="1"/>
      </rPr>
      <t>); monitoring shifts (0.06)</t>
    </r>
  </si>
  <si>
    <r>
      <t xml:space="preserve">(3). Maintain distributed computing </t>
    </r>
    <r>
      <rPr>
        <b/>
        <sz val="10"/>
        <color indexed="18"/>
        <rFont val="Times New Roman"/>
        <family val="1"/>
      </rPr>
      <t>(Lafebre, 0.25 core)</t>
    </r>
    <r>
      <rPr>
        <sz val="10"/>
        <color indexed="18"/>
        <rFont val="Times New Roman"/>
        <family val="1"/>
      </rPr>
      <t>; simulation production (Lafebre + Dunkman, 0.33)</t>
    </r>
  </si>
  <si>
    <r>
      <t>(4). Verify, maintain photon propagation &amp; ice properties (</t>
    </r>
    <r>
      <rPr>
        <b/>
        <sz val="10"/>
        <color indexed="18"/>
        <rFont val="Times New Roman"/>
        <family val="1"/>
      </rPr>
      <t>Woschnagg, 0.5, core</t>
    </r>
    <r>
      <rPr>
        <sz val="10"/>
        <color indexed="18"/>
        <rFont val="Times New Roman"/>
        <family val="1"/>
      </rPr>
      <t>)</t>
    </r>
  </si>
  <si>
    <t>(2). BadDomList (J. Kiryluk, 0.2); Flasher Runs (J. Kiryluk 0.1);  Monitoring (M) 0.09 , Track Engine Trigger (0.1)</t>
  </si>
  <si>
    <t>(2). Maintain bad DOM list (C. Rott, 0.2); 0.03M</t>
  </si>
  <si>
    <t>(1). Outreach (Rott/Stamatikos) 0.05</t>
  </si>
  <si>
    <t>(3). DeepCore filter (Jim Davis, 0.15),  IceCube filter: vertical events for oscillation analysis and Earth WIMPs (0.15)</t>
  </si>
  <si>
    <t>(4). Data quality and long term data stability</t>
  </si>
  <si>
    <r>
      <t>(5) 0.4 (</t>
    </r>
    <r>
      <rPr>
        <b/>
        <sz val="10"/>
        <color indexed="18"/>
        <rFont val="Times New Roman"/>
        <family val="1"/>
      </rPr>
      <t>core</t>
    </r>
    <r>
      <rPr>
        <sz val="10"/>
        <color indexed="18"/>
        <rFont val="Times New Roman"/>
        <family val="1"/>
      </rPr>
      <t>) + 0.5 (maintain IceSim), 0.5 postdoc/grad student (develop &amp; test reconstruction)</t>
    </r>
  </si>
  <si>
    <t>(5) 0.5 (maintain IceSim), 0.5 postdoc/grad student (develop &amp; test reconstruction)</t>
  </si>
  <si>
    <t>v7.2 , September 30, 2009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</si>
</sst>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\ &quot;M&quot;"/>
    <numFmt numFmtId="170" formatCode="0.000&quot;M&quot;"/>
    <numFmt numFmtId="171" formatCode="0.00&quot;M&quot;"/>
    <numFmt numFmtId="172" formatCode="0.00#"/>
    <numFmt numFmtId="173" formatCode="&quot;(&quot;0"/>
    <numFmt numFmtId="174" formatCode="0&quot;)&quot;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&quot;)&quot;"/>
    <numFmt numFmtId="182" formatCode="&quot;$&quot;#,##0\K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>
        <color indexed="22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textRotation="90" wrapText="1"/>
    </xf>
    <xf numFmtId="1" fontId="2" fillId="0" borderId="17" xfId="0" applyNumberFormat="1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173" fontId="2" fillId="0" borderId="15" xfId="0" applyNumberFormat="1" applyFont="1" applyBorder="1" applyAlignment="1">
      <alignment horizontal="center" vertical="center" wrapText="1"/>
    </xf>
    <xf numFmtId="1" fontId="3" fillId="22" borderId="18" xfId="0" applyNumberFormat="1" applyFont="1" applyFill="1" applyBorder="1" applyAlignment="1">
      <alignment horizontal="center" vertical="center" wrapText="1"/>
    </xf>
    <xf numFmtId="173" fontId="3" fillId="22" borderId="18" xfId="0" applyNumberFormat="1" applyFont="1" applyFill="1" applyBorder="1" applyAlignment="1">
      <alignment horizontal="center" vertical="center" wrapText="1"/>
    </xf>
    <xf numFmtId="1" fontId="3" fillId="22" borderId="19" xfId="0" applyNumberFormat="1" applyFont="1" applyFill="1" applyBorder="1" applyAlignment="1">
      <alignment horizontal="center" vertical="center" wrapText="1"/>
    </xf>
    <xf numFmtId="173" fontId="3" fillId="22" borderId="1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textRotation="90" wrapText="1"/>
    </xf>
    <xf numFmtId="174" fontId="2" fillId="0" borderId="21" xfId="0" applyNumberFormat="1" applyFont="1" applyBorder="1" applyAlignment="1">
      <alignment horizontal="center" vertical="center" wrapText="1"/>
    </xf>
    <xf numFmtId="174" fontId="2" fillId="0" borderId="22" xfId="0" applyNumberFormat="1" applyFont="1" applyBorder="1" applyAlignment="1">
      <alignment horizontal="center" vertical="center" wrapText="1"/>
    </xf>
    <xf numFmtId="174" fontId="2" fillId="0" borderId="23" xfId="0" applyNumberFormat="1" applyFont="1" applyBorder="1" applyAlignment="1">
      <alignment horizontal="center" vertical="center" wrapText="1"/>
    </xf>
    <xf numFmtId="174" fontId="3" fillId="22" borderId="24" xfId="0" applyNumberFormat="1" applyFont="1" applyFill="1" applyBorder="1" applyAlignment="1">
      <alignment horizontal="center" vertical="center" wrapText="1"/>
    </xf>
    <xf numFmtId="174" fontId="3" fillId="22" borderId="25" xfId="0" applyNumberFormat="1" applyFont="1" applyFill="1" applyBorder="1" applyAlignment="1">
      <alignment horizontal="center" vertical="center" wrapText="1"/>
    </xf>
    <xf numFmtId="0" fontId="13" fillId="24" borderId="26" xfId="0" applyFont="1" applyFill="1" applyBorder="1" applyAlignment="1">
      <alignment horizontal="center" vertical="top" wrapText="1"/>
    </xf>
    <xf numFmtId="0" fontId="14" fillId="24" borderId="27" xfId="0" applyFont="1" applyFill="1" applyBorder="1" applyAlignment="1">
      <alignment horizontal="center" vertical="top" wrapText="1"/>
    </xf>
    <xf numFmtId="0" fontId="13" fillId="24" borderId="28" xfId="0" applyFont="1" applyFill="1" applyBorder="1" applyAlignment="1">
      <alignment horizontal="left" vertical="top" wrapText="1"/>
    </xf>
    <xf numFmtId="0" fontId="14" fillId="24" borderId="27" xfId="0" applyFont="1" applyFill="1" applyBorder="1" applyAlignment="1">
      <alignment horizontal="right" vertical="top" wrapText="1"/>
    </xf>
    <xf numFmtId="0" fontId="13" fillId="24" borderId="28" xfId="0" applyFont="1" applyFill="1" applyBorder="1" applyAlignment="1">
      <alignment horizontal="right" vertical="top" wrapText="1"/>
    </xf>
    <xf numFmtId="0" fontId="13" fillId="24" borderId="27" xfId="0" applyFont="1" applyFill="1" applyBorder="1" applyAlignment="1">
      <alignment horizontal="right" vertical="top" wrapText="1"/>
    </xf>
    <xf numFmtId="2" fontId="14" fillId="24" borderId="27" xfId="0" applyNumberFormat="1" applyFont="1" applyFill="1" applyBorder="1" applyAlignment="1">
      <alignment horizontal="right" vertical="top" wrapText="1"/>
    </xf>
    <xf numFmtId="2" fontId="13" fillId="24" borderId="27" xfId="0" applyNumberFormat="1" applyFont="1" applyFill="1" applyBorder="1" applyAlignment="1">
      <alignment horizontal="right" vertical="top" wrapText="1"/>
    </xf>
    <xf numFmtId="2" fontId="14" fillId="24" borderId="29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173" fontId="3" fillId="20" borderId="19" xfId="0" applyNumberFormat="1" applyFont="1" applyFill="1" applyBorder="1" applyAlignment="1">
      <alignment horizontal="center" vertical="center" wrapText="1"/>
    </xf>
    <xf numFmtId="1" fontId="3" fillId="20" borderId="19" xfId="0" applyNumberFormat="1" applyFont="1" applyFill="1" applyBorder="1" applyAlignment="1">
      <alignment horizontal="center" vertical="center" wrapText="1"/>
    </xf>
    <xf numFmtId="174" fontId="3" fillId="20" borderId="25" xfId="0" applyNumberFormat="1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center" vertical="top" wrapText="1"/>
    </xf>
    <xf numFmtId="0" fontId="14" fillId="8" borderId="27" xfId="0" applyFont="1" applyFill="1" applyBorder="1" applyAlignment="1">
      <alignment horizontal="center" vertical="top" wrapText="1"/>
    </xf>
    <xf numFmtId="0" fontId="13" fillId="3" borderId="26" xfId="0" applyFont="1" applyFill="1" applyBorder="1" applyAlignment="1">
      <alignment horizontal="center" vertical="top" wrapText="1"/>
    </xf>
    <xf numFmtId="0" fontId="13" fillId="3" borderId="27" xfId="0" applyFont="1" applyFill="1" applyBorder="1" applyAlignment="1">
      <alignment horizontal="center" vertical="top" wrapText="1"/>
    </xf>
    <xf numFmtId="0" fontId="13" fillId="25" borderId="26" xfId="0" applyFont="1" applyFill="1" applyBorder="1" applyAlignment="1">
      <alignment horizontal="center" vertical="top" wrapText="1"/>
    </xf>
    <xf numFmtId="0" fontId="13" fillId="25" borderId="27" xfId="0" applyFont="1" applyFill="1" applyBorder="1" applyAlignment="1">
      <alignment horizontal="center" vertical="top" wrapText="1"/>
    </xf>
    <xf numFmtId="0" fontId="0" fillId="26" borderId="30" xfId="0" applyFill="1" applyBorder="1" applyAlignment="1">
      <alignment/>
    </xf>
    <xf numFmtId="0" fontId="0" fillId="26" borderId="14" xfId="0" applyFill="1" applyBorder="1" applyAlignment="1">
      <alignment/>
    </xf>
    <xf numFmtId="0" fontId="0" fillId="26" borderId="22" xfId="0" applyFill="1" applyBorder="1" applyAlignment="1">
      <alignment/>
    </xf>
    <xf numFmtId="0" fontId="0" fillId="26" borderId="31" xfId="0" applyFill="1" applyBorder="1" applyAlignment="1">
      <alignment/>
    </xf>
    <xf numFmtId="0" fontId="0" fillId="26" borderId="32" xfId="0" applyFill="1" applyBorder="1" applyAlignment="1">
      <alignment/>
    </xf>
    <xf numFmtId="0" fontId="7" fillId="0" borderId="33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1" fillId="15" borderId="34" xfId="0" applyFont="1" applyFill="1" applyBorder="1" applyAlignment="1">
      <alignment horizontal="center"/>
    </xf>
    <xf numFmtId="0" fontId="0" fillId="15" borderId="30" xfId="0" applyFill="1" applyBorder="1" applyAlignment="1">
      <alignment/>
    </xf>
    <xf numFmtId="0" fontId="2" fillId="15" borderId="35" xfId="0" applyFont="1" applyFill="1" applyBorder="1" applyAlignment="1">
      <alignment horizontal="center" textRotation="90" wrapText="1"/>
    </xf>
    <xf numFmtId="0" fontId="0" fillId="15" borderId="22" xfId="0" applyFill="1" applyBorder="1" applyAlignment="1">
      <alignment/>
    </xf>
    <xf numFmtId="174" fontId="2" fillId="15" borderId="36" xfId="0" applyNumberFormat="1" applyFont="1" applyFill="1" applyBorder="1" applyAlignment="1">
      <alignment horizontal="center" vertical="center" wrapText="1"/>
    </xf>
    <xf numFmtId="174" fontId="2" fillId="15" borderId="14" xfId="0" applyNumberFormat="1" applyFont="1" applyFill="1" applyBorder="1" applyAlignment="1">
      <alignment horizontal="center" vertical="center" wrapText="1"/>
    </xf>
    <xf numFmtId="174" fontId="2" fillId="15" borderId="12" xfId="0" applyNumberFormat="1" applyFont="1" applyFill="1" applyBorder="1" applyAlignment="1">
      <alignment horizontal="center" vertical="center" wrapText="1"/>
    </xf>
    <xf numFmtId="174" fontId="3" fillId="15" borderId="37" xfId="0" applyNumberFormat="1" applyFont="1" applyFill="1" applyBorder="1" applyAlignment="1">
      <alignment horizontal="center" vertical="center" wrapText="1"/>
    </xf>
    <xf numFmtId="174" fontId="3" fillId="15" borderId="38" xfId="0" applyNumberFormat="1" applyFont="1" applyFill="1" applyBorder="1" applyAlignment="1">
      <alignment horizontal="center" vertical="center" wrapText="1"/>
    </xf>
    <xf numFmtId="0" fontId="0" fillId="15" borderId="39" xfId="0" applyFill="1" applyBorder="1" applyAlignment="1">
      <alignment/>
    </xf>
    <xf numFmtId="0" fontId="0" fillId="15" borderId="32" xfId="0" applyFill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>
      <alignment horizontal="center" textRotation="90" wrapText="1"/>
    </xf>
    <xf numFmtId="1" fontId="3" fillId="0" borderId="36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11" fillId="22" borderId="37" xfId="0" applyNumberFormat="1" applyFont="1" applyFill="1" applyBorder="1" applyAlignment="1">
      <alignment horizontal="center" vertical="center" wrapText="1"/>
    </xf>
    <xf numFmtId="1" fontId="11" fillId="22" borderId="38" xfId="0" applyNumberFormat="1" applyFont="1" applyFill="1" applyBorder="1" applyAlignment="1">
      <alignment horizontal="center" vertical="center" wrapText="1"/>
    </xf>
    <xf numFmtId="1" fontId="11" fillId="20" borderId="38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2" fillId="0" borderId="4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41" xfId="0" applyFont="1" applyBorder="1" applyAlignment="1">
      <alignment horizontal="center" wrapText="1"/>
    </xf>
    <xf numFmtId="0" fontId="0" fillId="15" borderId="31" xfId="0" applyFill="1" applyBorder="1" applyAlignment="1">
      <alignment/>
    </xf>
    <xf numFmtId="0" fontId="0" fillId="8" borderId="34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31" xfId="0" applyFill="1" applyBorder="1" applyAlignment="1">
      <alignment/>
    </xf>
    <xf numFmtId="0" fontId="16" fillId="8" borderId="42" xfId="0" applyFont="1" applyFill="1" applyBorder="1" applyAlignment="1">
      <alignment/>
    </xf>
    <xf numFmtId="0" fontId="0" fillId="8" borderId="42" xfId="0" applyFill="1" applyBorder="1" applyAlignment="1">
      <alignment/>
    </xf>
    <xf numFmtId="0" fontId="0" fillId="8" borderId="30" xfId="0" applyFill="1" applyBorder="1" applyAlignment="1">
      <alignment/>
    </xf>
    <xf numFmtId="0" fontId="0" fillId="8" borderId="22" xfId="0" applyFill="1" applyBorder="1" applyAlignment="1">
      <alignment/>
    </xf>
    <xf numFmtId="0" fontId="0" fillId="8" borderId="32" xfId="0" applyFill="1" applyBorder="1" applyAlignment="1">
      <alignment/>
    </xf>
    <xf numFmtId="0" fontId="0" fillId="8" borderId="39" xfId="0" applyFill="1" applyBorder="1" applyAlignment="1">
      <alignment/>
    </xf>
    <xf numFmtId="0" fontId="0" fillId="27" borderId="34" xfId="0" applyFill="1" applyBorder="1" applyAlignment="1">
      <alignment/>
    </xf>
    <xf numFmtId="0" fontId="16" fillId="27" borderId="42" xfId="0" applyFont="1" applyFill="1" applyBorder="1" applyAlignment="1">
      <alignment/>
    </xf>
    <xf numFmtId="0" fontId="0" fillId="27" borderId="42" xfId="0" applyFill="1" applyBorder="1" applyAlignment="1">
      <alignment/>
    </xf>
    <xf numFmtId="0" fontId="16" fillId="27" borderId="42" xfId="0" applyFont="1" applyFill="1" applyBorder="1" applyAlignment="1">
      <alignment/>
    </xf>
    <xf numFmtId="0" fontId="0" fillId="27" borderId="30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22" xfId="0" applyFill="1" applyBorder="1" applyAlignment="1">
      <alignment/>
    </xf>
    <xf numFmtId="0" fontId="0" fillId="27" borderId="31" xfId="0" applyFill="1" applyBorder="1" applyAlignment="1">
      <alignment/>
    </xf>
    <xf numFmtId="0" fontId="0" fillId="27" borderId="39" xfId="0" applyFill="1" applyBorder="1" applyAlignment="1">
      <alignment/>
    </xf>
    <xf numFmtId="0" fontId="16" fillId="27" borderId="39" xfId="0" applyFont="1" applyFill="1" applyBorder="1" applyAlignment="1">
      <alignment/>
    </xf>
    <xf numFmtId="0" fontId="0" fillId="27" borderId="32" xfId="0" applyFill="1" applyBorder="1" applyAlignment="1">
      <alignment/>
    </xf>
    <xf numFmtId="0" fontId="3" fillId="25" borderId="43" xfId="0" applyFont="1" applyFill="1" applyBorder="1" applyAlignment="1">
      <alignment horizontal="center" wrapText="1"/>
    </xf>
    <xf numFmtId="0" fontId="3" fillId="0" borderId="44" xfId="0" applyFont="1" applyBorder="1" applyAlignment="1">
      <alignment horizontal="center" textRotation="90" wrapText="1"/>
    </xf>
    <xf numFmtId="0" fontId="3" fillId="0" borderId="45" xfId="0" applyFont="1" applyBorder="1" applyAlignment="1">
      <alignment horizontal="center" textRotation="90" wrapText="1"/>
    </xf>
    <xf numFmtId="2" fontId="3" fillId="25" borderId="25" xfId="0" applyNumberFormat="1" applyFont="1" applyFill="1" applyBorder="1" applyAlignment="1">
      <alignment horizontal="center" vertical="center"/>
    </xf>
    <xf numFmtId="2" fontId="3" fillId="21" borderId="25" xfId="0" applyNumberFormat="1" applyFont="1" applyFill="1" applyBorder="1" applyAlignment="1">
      <alignment horizontal="center" vertical="center"/>
    </xf>
    <xf numFmtId="0" fontId="11" fillId="20" borderId="46" xfId="0" applyFont="1" applyFill="1" applyBorder="1" applyAlignment="1">
      <alignment vertical="center" wrapText="1"/>
    </xf>
    <xf numFmtId="0" fontId="11" fillId="22" borderId="46" xfId="0" applyFont="1" applyFill="1" applyBorder="1" applyAlignment="1">
      <alignment vertical="center" wrapText="1"/>
    </xf>
    <xf numFmtId="0" fontId="11" fillId="22" borderId="47" xfId="0" applyFont="1" applyFill="1" applyBorder="1" applyAlignment="1">
      <alignment vertical="center" wrapText="1"/>
    </xf>
    <xf numFmtId="168" fontId="0" fillId="28" borderId="0" xfId="0" applyNumberFormat="1" applyFill="1" applyBorder="1" applyAlignment="1">
      <alignment vertical="center"/>
    </xf>
    <xf numFmtId="168" fontId="3" fillId="28" borderId="48" xfId="0" applyNumberFormat="1" applyFont="1" applyFill="1" applyBorder="1" applyAlignment="1">
      <alignment horizontal="center" vertical="center" wrapText="1"/>
    </xf>
    <xf numFmtId="168" fontId="3" fillId="28" borderId="49" xfId="0" applyNumberFormat="1" applyFont="1" applyFill="1" applyBorder="1" applyAlignment="1">
      <alignment horizontal="center" vertical="center" wrapText="1"/>
    </xf>
    <xf numFmtId="0" fontId="0" fillId="28" borderId="50" xfId="0" applyFill="1" applyBorder="1" applyAlignment="1">
      <alignment horizontal="center"/>
    </xf>
    <xf numFmtId="0" fontId="0" fillId="28" borderId="51" xfId="0" applyFill="1" applyBorder="1" applyAlignment="1">
      <alignment horizontal="center"/>
    </xf>
    <xf numFmtId="0" fontId="16" fillId="28" borderId="52" xfId="0" applyFont="1" applyFill="1" applyBorder="1" applyAlignment="1">
      <alignment horizontal="center"/>
    </xf>
    <xf numFmtId="0" fontId="0" fillId="28" borderId="53" xfId="0" applyFill="1" applyBorder="1" applyAlignment="1">
      <alignment horizontal="center"/>
    </xf>
    <xf numFmtId="0" fontId="0" fillId="28" borderId="54" xfId="0" applyFill="1" applyBorder="1" applyAlignment="1">
      <alignment horizontal="center"/>
    </xf>
    <xf numFmtId="0" fontId="16" fillId="28" borderId="55" xfId="0" applyFont="1" applyFill="1" applyBorder="1" applyAlignment="1">
      <alignment horizontal="center"/>
    </xf>
    <xf numFmtId="168" fontId="3" fillId="28" borderId="53" xfId="0" applyNumberFormat="1" applyFont="1" applyFill="1" applyBorder="1" applyAlignment="1">
      <alignment horizontal="center" vertical="center" wrapText="1"/>
    </xf>
    <xf numFmtId="168" fontId="3" fillId="28" borderId="54" xfId="0" applyNumberFormat="1" applyFont="1" applyFill="1" applyBorder="1" applyAlignment="1">
      <alignment horizontal="center" vertical="center" wrapText="1"/>
    </xf>
    <xf numFmtId="168" fontId="11" fillId="28" borderId="55" xfId="0" applyNumberFormat="1" applyFont="1" applyFill="1" applyBorder="1" applyAlignment="1">
      <alignment horizontal="center" vertical="center" wrapText="1"/>
    </xf>
    <xf numFmtId="0" fontId="0" fillId="28" borderId="53" xfId="0" applyFill="1" applyBorder="1" applyAlignment="1">
      <alignment/>
    </xf>
    <xf numFmtId="0" fontId="0" fillId="28" borderId="54" xfId="0" applyFill="1" applyBorder="1" applyAlignment="1">
      <alignment/>
    </xf>
    <xf numFmtId="0" fontId="16" fillId="28" borderId="55" xfId="0" applyFont="1" applyFill="1" applyBorder="1" applyAlignment="1">
      <alignment/>
    </xf>
    <xf numFmtId="2" fontId="3" fillId="28" borderId="2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56" xfId="0" applyFont="1" applyBorder="1" applyAlignment="1">
      <alignment/>
    </xf>
    <xf numFmtId="2" fontId="3" fillId="0" borderId="57" xfId="0" applyNumberFormat="1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168" fontId="0" fillId="0" borderId="0" xfId="0" applyNumberFormat="1" applyAlignment="1">
      <alignment/>
    </xf>
    <xf numFmtId="2" fontId="3" fillId="20" borderId="49" xfId="0" applyNumberFormat="1" applyFont="1" applyFill="1" applyBorder="1" applyAlignment="1">
      <alignment horizontal="center" vertical="center" wrapText="1"/>
    </xf>
    <xf numFmtId="2" fontId="3" fillId="22" borderId="49" xfId="0" applyNumberFormat="1" applyFont="1" applyFill="1" applyBorder="1" applyAlignment="1">
      <alignment horizontal="center" vertical="center" wrapText="1"/>
    </xf>
    <xf numFmtId="2" fontId="3" fillId="25" borderId="24" xfId="0" applyNumberFormat="1" applyFont="1" applyFill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3" fillId="22" borderId="48" xfId="0" applyNumberFormat="1" applyFont="1" applyFill="1" applyBorder="1" applyAlignment="1">
      <alignment horizontal="center" vertical="center" wrapText="1"/>
    </xf>
    <xf numFmtId="2" fontId="3" fillId="22" borderId="59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3" fillId="22" borderId="60" xfId="0" applyNumberFormat="1" applyFont="1" applyFill="1" applyBorder="1" applyAlignment="1">
      <alignment horizontal="center" vertical="center" wrapText="1"/>
    </xf>
    <xf numFmtId="2" fontId="3" fillId="22" borderId="61" xfId="0" applyNumberFormat="1" applyFont="1" applyFill="1" applyBorder="1" applyAlignment="1">
      <alignment horizontal="center" vertical="center" wrapText="1"/>
    </xf>
    <xf numFmtId="2" fontId="3" fillId="22" borderId="6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vertical="center" wrapText="1"/>
    </xf>
    <xf numFmtId="2" fontId="7" fillId="0" borderId="15" xfId="0" applyNumberFormat="1" applyFont="1" applyBorder="1" applyAlignment="1">
      <alignment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3" fillId="20" borderId="48" xfId="0" applyNumberFormat="1" applyFont="1" applyFill="1" applyBorder="1" applyAlignment="1">
      <alignment horizontal="center" vertical="center" wrapText="1"/>
    </xf>
    <xf numFmtId="2" fontId="3" fillId="20" borderId="59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Border="1" applyAlignment="1">
      <alignment/>
    </xf>
    <xf numFmtId="2" fontId="8" fillId="0" borderId="25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1" fillId="26" borderId="35" xfId="0" applyFont="1" applyFill="1" applyBorder="1" applyAlignment="1">
      <alignment horizontal="center" vertical="center" wrapText="1"/>
    </xf>
    <xf numFmtId="0" fontId="11" fillId="22" borderId="47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/>
    </xf>
    <xf numFmtId="0" fontId="26" fillId="0" borderId="22" xfId="0" applyFont="1" applyFill="1" applyBorder="1" applyAlignment="1">
      <alignment vertical="center"/>
    </xf>
    <xf numFmtId="2" fontId="19" fillId="0" borderId="40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8" fontId="20" fillId="0" borderId="60" xfId="0" applyNumberFormat="1" applyFont="1" applyFill="1" applyBorder="1" applyAlignment="1">
      <alignment horizontal="center" vertical="center" wrapText="1"/>
    </xf>
    <xf numFmtId="168" fontId="20" fillId="0" borderId="61" xfId="0" applyNumberFormat="1" applyFont="1" applyFill="1" applyBorder="1" applyAlignment="1">
      <alignment horizontal="center" vertical="center" wrapText="1"/>
    </xf>
    <xf numFmtId="168" fontId="20" fillId="0" borderId="62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168" fontId="26" fillId="0" borderId="14" xfId="0" applyNumberFormat="1" applyFont="1" applyFill="1" applyBorder="1" applyAlignment="1">
      <alignment vertical="center"/>
    </xf>
    <xf numFmtId="168" fontId="26" fillId="0" borderId="0" xfId="0" applyNumberFormat="1" applyFont="1" applyFill="1" applyBorder="1" applyAlignment="1">
      <alignment vertical="center"/>
    </xf>
    <xf numFmtId="172" fontId="19" fillId="0" borderId="40" xfId="0" applyNumberFormat="1" applyFont="1" applyFill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vertical="center"/>
    </xf>
    <xf numFmtId="168" fontId="20" fillId="0" borderId="48" xfId="0" applyNumberFormat="1" applyFont="1" applyFill="1" applyBorder="1" applyAlignment="1">
      <alignment horizontal="center" vertical="center" wrapText="1"/>
    </xf>
    <xf numFmtId="168" fontId="20" fillId="0" borderId="49" xfId="0" applyNumberFormat="1" applyFont="1" applyFill="1" applyBorder="1" applyAlignment="1">
      <alignment horizontal="center" vertical="center" wrapText="1"/>
    </xf>
    <xf numFmtId="168" fontId="20" fillId="0" borderId="59" xfId="0" applyNumberFormat="1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vertical="center" wrapText="1"/>
    </xf>
    <xf numFmtId="0" fontId="23" fillId="0" borderId="42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1" fontId="0" fillId="0" borderId="0" xfId="0" applyNumberFormat="1" applyAlignment="1">
      <alignment/>
    </xf>
    <xf numFmtId="0" fontId="24" fillId="5" borderId="63" xfId="0" applyFont="1" applyFill="1" applyBorder="1" applyAlignment="1">
      <alignment horizontal="center" vertical="top" wrapText="1"/>
    </xf>
    <xf numFmtId="0" fontId="24" fillId="29" borderId="41" xfId="0" applyFont="1" applyFill="1" applyBorder="1" applyAlignment="1">
      <alignment horizontal="center" vertical="top" wrapText="1"/>
    </xf>
    <xf numFmtId="0" fontId="24" fillId="4" borderId="41" xfId="0" applyFont="1" applyFill="1" applyBorder="1" applyAlignment="1">
      <alignment horizontal="center" vertical="top" wrapText="1"/>
    </xf>
    <xf numFmtId="0" fontId="24" fillId="22" borderId="41" xfId="0" applyFont="1" applyFill="1" applyBorder="1" applyAlignment="1">
      <alignment horizontal="center" vertical="top" wrapText="1"/>
    </xf>
    <xf numFmtId="0" fontId="24" fillId="25" borderId="13" xfId="0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top" wrapText="1"/>
    </xf>
    <xf numFmtId="2" fontId="3" fillId="0" borderId="4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64" xfId="0" applyFont="1" applyBorder="1" applyAlignment="1">
      <alignment/>
    </xf>
    <xf numFmtId="0" fontId="9" fillId="0" borderId="65" xfId="0" applyFont="1" applyBorder="1" applyAlignment="1">
      <alignment/>
    </xf>
    <xf numFmtId="2" fontId="3" fillId="25" borderId="66" xfId="0" applyNumberFormat="1" applyFont="1" applyFill="1" applyBorder="1" applyAlignment="1">
      <alignment horizontal="center" vertical="center"/>
    </xf>
    <xf numFmtId="2" fontId="9" fillId="0" borderId="67" xfId="0" applyNumberFormat="1" applyFont="1" applyBorder="1" applyAlignment="1">
      <alignment vertical="center"/>
    </xf>
    <xf numFmtId="0" fontId="8" fillId="0" borderId="64" xfId="0" applyFont="1" applyBorder="1" applyAlignment="1">
      <alignment/>
    </xf>
    <xf numFmtId="0" fontId="8" fillId="0" borderId="65" xfId="0" applyFont="1" applyBorder="1" applyAlignment="1">
      <alignment/>
    </xf>
    <xf numFmtId="2" fontId="3" fillId="25" borderId="67" xfId="0" applyNumberFormat="1" applyFont="1" applyFill="1" applyBorder="1" applyAlignment="1">
      <alignment horizontal="center" vertical="center"/>
    </xf>
    <xf numFmtId="2" fontId="8" fillId="0" borderId="67" xfId="0" applyNumberFormat="1" applyFont="1" applyBorder="1" applyAlignment="1">
      <alignment horizontal="center" vertical="center"/>
    </xf>
    <xf numFmtId="2" fontId="3" fillId="21" borderId="67" xfId="0" applyNumberFormat="1" applyFont="1" applyFill="1" applyBorder="1" applyAlignment="1">
      <alignment horizontal="center" vertical="center"/>
    </xf>
    <xf numFmtId="0" fontId="0" fillId="8" borderId="68" xfId="0" applyFill="1" applyBorder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vertical="center" wrapText="1"/>
    </xf>
    <xf numFmtId="0" fontId="23" fillId="0" borderId="34" xfId="0" applyFont="1" applyFill="1" applyBorder="1" applyAlignment="1">
      <alignment horizontal="left" vertical="top" wrapText="1"/>
    </xf>
    <xf numFmtId="0" fontId="23" fillId="0" borderId="42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0" fontId="23" fillId="0" borderId="34" xfId="0" applyFont="1" applyFill="1" applyBorder="1" applyAlignment="1">
      <alignment vertical="center" wrapText="1"/>
    </xf>
    <xf numFmtId="0" fontId="23" fillId="0" borderId="42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horizontal="left" vertical="center" wrapText="1"/>
    </xf>
    <xf numFmtId="0" fontId="23" fillId="0" borderId="42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wrapText="1"/>
    </xf>
    <xf numFmtId="0" fontId="23" fillId="0" borderId="15" xfId="0" applyFont="1" applyFill="1" applyBorder="1" applyAlignment="1">
      <alignment wrapText="1"/>
    </xf>
    <xf numFmtId="0" fontId="23" fillId="0" borderId="69" xfId="0" applyFont="1" applyFill="1" applyBorder="1" applyAlignment="1">
      <alignment wrapText="1"/>
    </xf>
    <xf numFmtId="0" fontId="23" fillId="0" borderId="70" xfId="0" applyFont="1" applyFill="1" applyBorder="1" applyAlignment="1">
      <alignment horizontal="left" vertical="center" wrapText="1"/>
    </xf>
    <xf numFmtId="0" fontId="23" fillId="0" borderId="71" xfId="0" applyFont="1" applyFill="1" applyBorder="1" applyAlignment="1">
      <alignment horizontal="left" vertical="center" wrapText="1"/>
    </xf>
    <xf numFmtId="0" fontId="23" fillId="0" borderId="72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7" fillId="0" borderId="3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16" fillId="8" borderId="34" xfId="0" applyFont="1" applyFill="1" applyBorder="1" applyAlignment="1">
      <alignment horizontal="center" vertical="center" wrapText="1"/>
    </xf>
    <xf numFmtId="0" fontId="16" fillId="8" borderId="42" xfId="0" applyFont="1" applyFill="1" applyBorder="1" applyAlignment="1">
      <alignment horizontal="center" vertical="center" wrapText="1"/>
    </xf>
    <xf numFmtId="0" fontId="16" fillId="8" borderId="76" xfId="0" applyFont="1" applyFill="1" applyBorder="1" applyAlignment="1">
      <alignment horizontal="center" vertical="center" wrapText="1"/>
    </xf>
    <xf numFmtId="0" fontId="8" fillId="0" borderId="77" xfId="0" applyFont="1" applyBorder="1" applyAlignment="1">
      <alignment vertical="center" wrapText="1"/>
    </xf>
    <xf numFmtId="0" fontId="8" fillId="0" borderId="78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8" fillId="0" borderId="12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69" xfId="0" applyFont="1" applyBorder="1" applyAlignment="1">
      <alignment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3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16" fillId="15" borderId="7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5" fillId="22" borderId="79" xfId="0" applyFont="1" applyFill="1" applyBorder="1" applyAlignment="1">
      <alignment horizontal="center" vertical="top" wrapText="1"/>
    </xf>
    <xf numFmtId="0" fontId="15" fillId="22" borderId="28" xfId="0" applyFont="1" applyFill="1" applyBorder="1" applyAlignment="1">
      <alignment horizontal="center" vertical="top" wrapText="1"/>
    </xf>
    <xf numFmtId="0" fontId="13" fillId="24" borderId="80" xfId="0" applyFont="1" applyFill="1" applyBorder="1" applyAlignment="1">
      <alignment horizontal="center" vertical="top" wrapText="1"/>
    </xf>
    <xf numFmtId="0" fontId="13" fillId="24" borderId="81" xfId="0" applyFont="1" applyFill="1" applyBorder="1" applyAlignment="1">
      <alignment horizontal="center" vertical="top" wrapText="1"/>
    </xf>
    <xf numFmtId="0" fontId="15" fillId="4" borderId="79" xfId="0" applyFont="1" applyFill="1" applyBorder="1" applyAlignment="1">
      <alignment horizontal="center" vertical="top" wrapText="1"/>
    </xf>
    <xf numFmtId="0" fontId="15" fillId="4" borderId="28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outlinePr summaryBelow="0"/>
  </sheetPr>
  <dimension ref="A1:AS214"/>
  <sheetViews>
    <sheetView tabSelected="1" zoomScale="85" zoomScaleNormal="85" zoomScaleSheetLayoutView="75" zoomScalePageLayoutView="0" workbookViewId="0" topLeftCell="A1">
      <pane xSplit="2" ySplit="2" topLeftCell="C3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B2" sqref="B2"/>
    </sheetView>
  </sheetViews>
  <sheetFormatPr defaultColWidth="9.140625" defaultRowHeight="12.75" outlineLevelRow="2" outlineLevelCol="2"/>
  <cols>
    <col min="1" max="1" width="11.421875" style="0" hidden="1" customWidth="1" outlineLevel="1"/>
    <col min="2" max="2" width="36.8515625" style="0" customWidth="1" collapsed="1"/>
    <col min="3" max="3" width="5.421875" style="21" customWidth="1"/>
    <col min="4" max="6" width="4.421875" style="21" customWidth="1"/>
    <col min="7" max="7" width="1.1484375" style="21" hidden="1" customWidth="1"/>
    <col min="8" max="8" width="11.8515625" style="0" customWidth="1"/>
    <col min="9" max="9" width="12.421875" style="0" customWidth="1"/>
    <col min="10" max="10" width="11.8515625" style="0" customWidth="1"/>
    <col min="11" max="11" width="10.28125" style="0" customWidth="1"/>
    <col min="12" max="12" width="13.8515625" style="0" customWidth="1"/>
    <col min="13" max="13" width="8.57421875" style="0" customWidth="1"/>
    <col min="14" max="14" width="1.28515625" style="0" customWidth="1"/>
    <col min="15" max="15" width="1.28515625" style="0" hidden="1" customWidth="1"/>
    <col min="16" max="16" width="11.57421875" style="0" customWidth="1"/>
    <col min="17" max="17" width="12.00390625" style="0" customWidth="1"/>
    <col min="18" max="18" width="11.421875" style="0" customWidth="1"/>
    <col min="19" max="19" width="10.8515625" style="0" customWidth="1"/>
    <col min="20" max="20" width="13.421875" style="0" customWidth="1"/>
    <col min="22" max="22" width="1.421875" style="0" hidden="1" customWidth="1"/>
    <col min="23" max="23" width="1.421875" style="0" hidden="1" customWidth="1" outlineLevel="2"/>
    <col min="24" max="24" width="8.57421875" style="0" hidden="1" customWidth="1" outlineLevel="2"/>
    <col min="25" max="25" width="8.140625" style="0" hidden="1" customWidth="1" outlineLevel="2"/>
    <col min="26" max="26" width="7.140625" style="0" hidden="1" customWidth="1" outlineLevel="2"/>
    <col min="27" max="27" width="7.421875" style="0" hidden="1" customWidth="1" outlineLevel="2"/>
    <col min="28" max="28" width="7.140625" style="0" hidden="1" customWidth="1" outlineLevel="2"/>
    <col min="29" max="29" width="1.421875" style="0" hidden="1" customWidth="1" outlineLevel="2"/>
    <col min="30" max="30" width="1.8515625" style="0" hidden="1" customWidth="1" outlineLevel="2"/>
    <col min="31" max="41" width="6.421875" style="0" hidden="1" customWidth="1" outlineLevel="2"/>
    <col min="42" max="42" width="9.140625" style="81" hidden="1" customWidth="1" outlineLevel="2"/>
    <col min="43" max="43" width="1.421875" style="0" hidden="1" customWidth="1" outlineLevel="2"/>
    <col min="44" max="44" width="9.140625" style="0" customWidth="1" collapsed="1"/>
  </cols>
  <sheetData>
    <row r="1" spans="1:43" ht="26.25" customHeight="1" thickBot="1">
      <c r="A1" s="163"/>
      <c r="B1" s="163" t="s">
        <v>232</v>
      </c>
      <c r="C1" s="269" t="s">
        <v>64</v>
      </c>
      <c r="D1" s="270"/>
      <c r="E1" s="270"/>
      <c r="F1" s="271"/>
      <c r="G1" s="57"/>
      <c r="H1" s="290" t="s">
        <v>205</v>
      </c>
      <c r="I1" s="290"/>
      <c r="J1" s="290"/>
      <c r="K1" s="290"/>
      <c r="L1" s="290"/>
      <c r="M1" s="290"/>
      <c r="N1" s="58"/>
      <c r="O1" s="275" t="s">
        <v>206</v>
      </c>
      <c r="P1" s="276"/>
      <c r="Q1" s="276"/>
      <c r="R1" s="276"/>
      <c r="S1" s="276"/>
      <c r="T1" s="276"/>
      <c r="U1" s="277"/>
      <c r="V1" s="47"/>
      <c r="W1" s="84"/>
      <c r="X1" s="87" t="s">
        <v>74</v>
      </c>
      <c r="Y1" s="88"/>
      <c r="Z1" s="88"/>
      <c r="AA1" s="88"/>
      <c r="AB1" s="88"/>
      <c r="AC1" s="89"/>
      <c r="AD1" s="93"/>
      <c r="AE1" s="94" t="s">
        <v>67</v>
      </c>
      <c r="AF1" s="94"/>
      <c r="AG1" s="95"/>
      <c r="AH1" s="95"/>
      <c r="AI1" s="95"/>
      <c r="AJ1" s="95"/>
      <c r="AK1" s="95"/>
      <c r="AL1" s="95"/>
      <c r="AM1" s="95"/>
      <c r="AN1" s="95"/>
      <c r="AO1" s="95"/>
      <c r="AP1" s="96"/>
      <c r="AQ1" s="97"/>
    </row>
    <row r="2" spans="1:43" ht="90" customHeight="1" thickBot="1">
      <c r="A2" s="164" t="s">
        <v>207</v>
      </c>
      <c r="B2" s="164" t="s">
        <v>99</v>
      </c>
      <c r="C2" s="70" t="s">
        <v>56</v>
      </c>
      <c r="D2" s="12" t="s">
        <v>40</v>
      </c>
      <c r="E2" s="12" t="s">
        <v>39</v>
      </c>
      <c r="F2" s="22" t="s">
        <v>38</v>
      </c>
      <c r="G2" s="59"/>
      <c r="H2" s="201" t="s">
        <v>0</v>
      </c>
      <c r="I2" s="202" t="s">
        <v>1</v>
      </c>
      <c r="J2" s="203" t="s">
        <v>2</v>
      </c>
      <c r="K2" s="204" t="s">
        <v>3</v>
      </c>
      <c r="L2" s="205" t="s">
        <v>4</v>
      </c>
      <c r="M2" s="6" t="s">
        <v>14</v>
      </c>
      <c r="N2" s="60"/>
      <c r="O2" s="48"/>
      <c r="P2" s="201" t="s">
        <v>0</v>
      </c>
      <c r="Q2" s="202" t="s">
        <v>1</v>
      </c>
      <c r="R2" s="203" t="s">
        <v>2</v>
      </c>
      <c r="S2" s="204" t="s">
        <v>3</v>
      </c>
      <c r="T2" s="205" t="s">
        <v>4</v>
      </c>
      <c r="U2" s="208" t="s">
        <v>14</v>
      </c>
      <c r="V2" s="49"/>
      <c r="W2" s="85"/>
      <c r="X2" s="69" t="s">
        <v>59</v>
      </c>
      <c r="Y2" s="82" t="s">
        <v>103</v>
      </c>
      <c r="Z2" s="68" t="s">
        <v>60</v>
      </c>
      <c r="AA2" s="82" t="s">
        <v>63</v>
      </c>
      <c r="AB2" s="6" t="s">
        <v>61</v>
      </c>
      <c r="AC2" s="90"/>
      <c r="AD2" s="98"/>
      <c r="AE2" s="105" t="s">
        <v>62</v>
      </c>
      <c r="AF2" s="106" t="s">
        <v>69</v>
      </c>
      <c r="AG2" s="106" t="s">
        <v>72</v>
      </c>
      <c r="AH2" s="106" t="s">
        <v>102</v>
      </c>
      <c r="AI2" s="106" t="s">
        <v>65</v>
      </c>
      <c r="AJ2" s="106" t="s">
        <v>71</v>
      </c>
      <c r="AK2" s="106" t="s">
        <v>66</v>
      </c>
      <c r="AL2" s="106" t="s">
        <v>100</v>
      </c>
      <c r="AM2" s="106" t="s">
        <v>101</v>
      </c>
      <c r="AN2" s="106" t="s">
        <v>70</v>
      </c>
      <c r="AO2" s="106" t="s">
        <v>68</v>
      </c>
      <c r="AP2" s="104" t="s">
        <v>73</v>
      </c>
      <c r="AQ2" s="99"/>
    </row>
    <row r="3" spans="1:43" ht="34.5" customHeight="1" outlineLevel="1" collapsed="1" thickBot="1" thickTop="1">
      <c r="A3" s="131" t="s">
        <v>208</v>
      </c>
      <c r="B3" s="131" t="s">
        <v>110</v>
      </c>
      <c r="C3" s="71">
        <f>D3+E3</f>
        <v>2</v>
      </c>
      <c r="D3" s="14">
        <v>1</v>
      </c>
      <c r="E3" s="13">
        <v>1</v>
      </c>
      <c r="F3" s="23">
        <v>2</v>
      </c>
      <c r="G3" s="61"/>
      <c r="H3" s="145"/>
      <c r="I3" s="80">
        <v>0.63</v>
      </c>
      <c r="J3" s="80"/>
      <c r="K3" s="80"/>
      <c r="L3" s="146">
        <v>0.45</v>
      </c>
      <c r="M3" s="130">
        <f>SUM(H3:L3)</f>
        <v>1.08</v>
      </c>
      <c r="N3" s="60"/>
      <c r="O3" s="48"/>
      <c r="P3" s="145">
        <f aca="true" t="shared" si="0" ref="P3:T4">IF(H3=0,"",H3)</f>
      </c>
      <c r="Q3" s="80">
        <f t="shared" si="0"/>
        <v>0.63</v>
      </c>
      <c r="R3" s="80">
        <f t="shared" si="0"/>
      </c>
      <c r="S3" s="80">
        <f t="shared" si="0"/>
      </c>
      <c r="T3" s="146">
        <f t="shared" si="0"/>
        <v>0.45</v>
      </c>
      <c r="U3" s="209">
        <f>SUM(P3:T3)</f>
        <v>1.08</v>
      </c>
      <c r="V3" s="49"/>
      <c r="W3" s="85"/>
      <c r="X3" s="166">
        <v>0.3</v>
      </c>
      <c r="Y3" s="167">
        <v>0.615</v>
      </c>
      <c r="Z3" s="167">
        <v>0.015</v>
      </c>
      <c r="AA3" s="168"/>
      <c r="AB3" s="169">
        <f>SUM(X3:Z3)</f>
        <v>0.93</v>
      </c>
      <c r="AC3" s="90"/>
      <c r="AD3" s="98"/>
      <c r="AE3" s="115">
        <v>0.015</v>
      </c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7">
        <f>SUM(AE3:AO3)</f>
        <v>0.015</v>
      </c>
      <c r="AQ3" s="99"/>
    </row>
    <row r="4" spans="1:43" ht="18.75" customHeight="1" hidden="1" outlineLevel="2" thickBot="1">
      <c r="A4" s="136"/>
      <c r="B4" s="136"/>
      <c r="C4" s="72"/>
      <c r="D4" s="15"/>
      <c r="E4" s="10"/>
      <c r="F4" s="24"/>
      <c r="G4" s="62"/>
      <c r="H4" s="52"/>
      <c r="I4" s="1" t="s">
        <v>9</v>
      </c>
      <c r="J4" s="1"/>
      <c r="K4" s="1"/>
      <c r="L4" s="2" t="s">
        <v>10</v>
      </c>
      <c r="M4" s="5"/>
      <c r="N4" s="60"/>
      <c r="O4" s="48"/>
      <c r="P4" s="52">
        <f t="shared" si="0"/>
      </c>
      <c r="Q4" s="1" t="str">
        <f t="shared" si="0"/>
        <v>note 1</v>
      </c>
      <c r="R4" s="1">
        <f t="shared" si="0"/>
      </c>
      <c r="S4" s="1">
        <f t="shared" si="0"/>
      </c>
      <c r="T4" s="2" t="str">
        <f t="shared" si="0"/>
        <v>note 2</v>
      </c>
      <c r="U4" s="210"/>
      <c r="V4" s="49"/>
      <c r="W4" s="85"/>
      <c r="X4" s="170"/>
      <c r="Y4" s="171"/>
      <c r="Z4" s="171" t="s">
        <v>75</v>
      </c>
      <c r="AA4" s="172"/>
      <c r="AB4" s="173"/>
      <c r="AC4" s="90"/>
      <c r="AD4" s="98"/>
      <c r="AE4" s="118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20"/>
      <c r="AQ4" s="99"/>
    </row>
    <row r="5" spans="1:43" ht="41.25" customHeight="1" hidden="1" outlineLevel="2">
      <c r="A5" s="132"/>
      <c r="B5" s="132"/>
      <c r="C5" s="72"/>
      <c r="D5" s="15"/>
      <c r="E5" s="10"/>
      <c r="F5" s="24"/>
      <c r="G5" s="62"/>
      <c r="H5" s="246" t="s">
        <v>108</v>
      </c>
      <c r="I5" s="247"/>
      <c r="J5" s="247"/>
      <c r="K5" s="247"/>
      <c r="L5" s="248"/>
      <c r="M5" s="53"/>
      <c r="N5" s="60"/>
      <c r="O5" s="48"/>
      <c r="P5" s="246" t="str">
        <f>H5</f>
        <v>(1). 0.15  for managing flasher runs and other calibrations (Dawn Williams); 0.03M, flasher analysis 0.25 (Donglian Xu), taking flasher runs 0.20 (Pavel Zarzhitsky)</v>
      </c>
      <c r="Q5" s="247"/>
      <c r="R5" s="247"/>
      <c r="S5" s="247"/>
      <c r="T5" s="248"/>
      <c r="U5" s="211"/>
      <c r="V5" s="49"/>
      <c r="W5" s="85"/>
      <c r="X5" s="231" t="s">
        <v>76</v>
      </c>
      <c r="Y5" s="232"/>
      <c r="Z5" s="232"/>
      <c r="AA5" s="233"/>
      <c r="AB5" s="174"/>
      <c r="AC5" s="90"/>
      <c r="AD5" s="98"/>
      <c r="AE5" s="118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20"/>
      <c r="AQ5" s="99"/>
    </row>
    <row r="6" spans="1:43" ht="41.25" customHeight="1" hidden="1" outlineLevel="2" thickBot="1">
      <c r="A6" s="134"/>
      <c r="B6" s="134"/>
      <c r="C6" s="73"/>
      <c r="D6" s="16"/>
      <c r="E6" s="11"/>
      <c r="F6" s="25"/>
      <c r="G6" s="63"/>
      <c r="H6" s="227" t="s">
        <v>109</v>
      </c>
      <c r="I6" s="221"/>
      <c r="J6" s="221"/>
      <c r="K6" s="221"/>
      <c r="L6" s="222"/>
      <c r="M6" s="53"/>
      <c r="N6" s="60"/>
      <c r="O6" s="48"/>
      <c r="P6" s="227" t="str">
        <f>H6</f>
        <v>(2). Data Quality Lead 0.15 (Dawn Williams), Simulation verification 0.3 (P. Zarzhitzky)</v>
      </c>
      <c r="Q6" s="221"/>
      <c r="R6" s="221"/>
      <c r="S6" s="221"/>
      <c r="T6" s="222"/>
      <c r="U6" s="211"/>
      <c r="V6" s="49"/>
      <c r="W6" s="85"/>
      <c r="X6" s="243"/>
      <c r="Y6" s="244"/>
      <c r="Z6" s="244"/>
      <c r="AA6" s="245"/>
      <c r="AB6" s="174"/>
      <c r="AC6" s="90"/>
      <c r="AD6" s="98"/>
      <c r="AE6" s="118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20"/>
      <c r="AQ6" s="99"/>
    </row>
    <row r="7" spans="1:43" ht="34.5" customHeight="1" outlineLevel="1" collapsed="1" thickBot="1" thickTop="1">
      <c r="A7" s="131" t="s">
        <v>208</v>
      </c>
      <c r="B7" s="131" t="s">
        <v>111</v>
      </c>
      <c r="C7" s="71">
        <f>D7+E7</f>
        <v>1</v>
      </c>
      <c r="D7" s="14">
        <v>1</v>
      </c>
      <c r="E7" s="13">
        <v>0</v>
      </c>
      <c r="F7" s="23">
        <v>0</v>
      </c>
      <c r="G7" s="61"/>
      <c r="H7" s="145"/>
      <c r="I7" s="80">
        <v>0.02</v>
      </c>
      <c r="J7" s="80"/>
      <c r="K7" s="80"/>
      <c r="L7" s="146">
        <v>0.4</v>
      </c>
      <c r="M7" s="130">
        <f>SUM(H7:L7)</f>
        <v>0.42000000000000004</v>
      </c>
      <c r="N7" s="60"/>
      <c r="O7" s="48"/>
      <c r="P7" s="145">
        <f aca="true" t="shared" si="1" ref="P7:T8">IF(H7=0,"",H7)</f>
      </c>
      <c r="Q7" s="80">
        <f t="shared" si="1"/>
        <v>0.02</v>
      </c>
      <c r="R7" s="80">
        <f t="shared" si="1"/>
      </c>
      <c r="S7" s="80">
        <f t="shared" si="1"/>
      </c>
      <c r="T7" s="146">
        <f t="shared" si="1"/>
        <v>0.4</v>
      </c>
      <c r="U7" s="209">
        <f>SUM(P7:T7)</f>
        <v>0.42000000000000004</v>
      </c>
      <c r="V7" s="49"/>
      <c r="W7" s="85"/>
      <c r="X7" s="166">
        <v>0.42</v>
      </c>
      <c r="Y7" s="167"/>
      <c r="Z7" s="167"/>
      <c r="AA7" s="168"/>
      <c r="AB7" s="169">
        <f>SUM(X7:Z7)</f>
        <v>0.42</v>
      </c>
      <c r="AC7" s="90"/>
      <c r="AD7" s="98"/>
      <c r="AE7" s="118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20"/>
      <c r="AQ7" s="99"/>
    </row>
    <row r="8" spans="1:43" ht="16.5" hidden="1" outlineLevel="2" thickBot="1">
      <c r="A8" s="132"/>
      <c r="B8" s="132"/>
      <c r="C8" s="72"/>
      <c r="D8" s="15"/>
      <c r="E8" s="10"/>
      <c r="F8" s="24"/>
      <c r="G8" s="62"/>
      <c r="H8" s="52"/>
      <c r="I8" s="1" t="s">
        <v>9</v>
      </c>
      <c r="J8" s="1"/>
      <c r="K8" s="1"/>
      <c r="L8" s="2"/>
      <c r="M8" s="5"/>
      <c r="N8" s="60"/>
      <c r="O8" s="48"/>
      <c r="P8" s="52">
        <f t="shared" si="1"/>
      </c>
      <c r="Q8" s="1" t="str">
        <f t="shared" si="1"/>
        <v>note 1</v>
      </c>
      <c r="R8" s="1">
        <f t="shared" si="1"/>
      </c>
      <c r="S8" s="1">
        <f t="shared" si="1"/>
      </c>
      <c r="T8" s="2">
        <f t="shared" si="1"/>
      </c>
      <c r="U8" s="210"/>
      <c r="V8" s="49"/>
      <c r="W8" s="85"/>
      <c r="X8" s="170"/>
      <c r="Y8" s="171"/>
      <c r="Z8" s="171"/>
      <c r="AA8" s="172"/>
      <c r="AB8" s="173"/>
      <c r="AC8" s="90"/>
      <c r="AD8" s="98"/>
      <c r="AE8" s="118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20"/>
      <c r="AQ8" s="99"/>
    </row>
    <row r="9" spans="1:43" ht="12.75" customHeight="1" hidden="1" outlineLevel="2" thickBot="1">
      <c r="A9" s="137"/>
      <c r="B9" s="137"/>
      <c r="C9" s="73"/>
      <c r="D9" s="16"/>
      <c r="E9" s="11"/>
      <c r="F9" s="25"/>
      <c r="G9" s="63"/>
      <c r="H9" s="272" t="s">
        <v>22</v>
      </c>
      <c r="I9" s="273"/>
      <c r="J9" s="273"/>
      <c r="K9" s="273"/>
      <c r="L9" s="274"/>
      <c r="M9" s="53"/>
      <c r="N9" s="60"/>
      <c r="O9" s="48"/>
      <c r="P9" s="272" t="s">
        <v>22</v>
      </c>
      <c r="Q9" s="273"/>
      <c r="R9" s="273"/>
      <c r="S9" s="273"/>
      <c r="T9" s="274"/>
      <c r="U9" s="211"/>
      <c r="V9" s="49"/>
      <c r="W9" s="85"/>
      <c r="X9" s="266"/>
      <c r="Y9" s="267"/>
      <c r="Z9" s="267"/>
      <c r="AA9" s="268"/>
      <c r="AB9" s="174"/>
      <c r="AC9" s="90"/>
      <c r="AD9" s="98"/>
      <c r="AE9" s="118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20"/>
      <c r="AQ9" s="99"/>
    </row>
    <row r="10" spans="1:43" ht="34.5" customHeight="1" outlineLevel="1" collapsed="1" thickBot="1" thickTop="1">
      <c r="A10" s="131" t="s">
        <v>208</v>
      </c>
      <c r="B10" s="131" t="s">
        <v>112</v>
      </c>
      <c r="C10" s="71">
        <f>D10+E10</f>
        <v>1</v>
      </c>
      <c r="D10" s="14">
        <v>1</v>
      </c>
      <c r="E10" s="13">
        <v>0</v>
      </c>
      <c r="F10" s="23">
        <v>0</v>
      </c>
      <c r="G10" s="61"/>
      <c r="H10" s="145"/>
      <c r="I10" s="80">
        <v>0.015</v>
      </c>
      <c r="J10" s="80"/>
      <c r="K10" s="80"/>
      <c r="L10" s="146"/>
      <c r="M10" s="130">
        <f>SUM(H10:L10)</f>
        <v>0.015</v>
      </c>
      <c r="N10" s="60"/>
      <c r="O10" s="48"/>
      <c r="P10" s="145">
        <f aca="true" t="shared" si="2" ref="P10:T11">IF(H10=0,"",H10)</f>
      </c>
      <c r="Q10" s="80">
        <f t="shared" si="2"/>
        <v>0.015</v>
      </c>
      <c r="R10" s="80">
        <f t="shared" si="2"/>
      </c>
      <c r="S10" s="80">
        <f t="shared" si="2"/>
      </c>
      <c r="T10" s="146">
        <f t="shared" si="2"/>
      </c>
      <c r="U10" s="209">
        <f>SUM(P10:T10)</f>
        <v>0.015</v>
      </c>
      <c r="V10" s="49"/>
      <c r="W10" s="85"/>
      <c r="X10" s="166"/>
      <c r="Y10" s="167">
        <v>0.015</v>
      </c>
      <c r="Z10" s="167"/>
      <c r="AA10" s="168"/>
      <c r="AB10" s="169">
        <f>SUM(X10:Z10)</f>
        <v>0.015</v>
      </c>
      <c r="AC10" s="90"/>
      <c r="AD10" s="98"/>
      <c r="AE10" s="118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99"/>
    </row>
    <row r="11" spans="1:43" ht="16.5" hidden="1" outlineLevel="2" thickBot="1">
      <c r="A11" s="132"/>
      <c r="B11" s="132"/>
      <c r="C11" s="72"/>
      <c r="D11" s="15"/>
      <c r="E11" s="10"/>
      <c r="F11" s="24"/>
      <c r="G11" s="62"/>
      <c r="H11" s="52"/>
      <c r="I11" s="1" t="s">
        <v>9</v>
      </c>
      <c r="J11" s="1"/>
      <c r="K11" s="1"/>
      <c r="L11" s="2"/>
      <c r="M11" s="5"/>
      <c r="N11" s="60"/>
      <c r="O11" s="48"/>
      <c r="P11" s="52">
        <f t="shared" si="2"/>
      </c>
      <c r="Q11" s="1" t="str">
        <f t="shared" si="2"/>
        <v>note 1</v>
      </c>
      <c r="R11" s="1">
        <f t="shared" si="2"/>
      </c>
      <c r="S11" s="1">
        <f t="shared" si="2"/>
      </c>
      <c r="T11" s="2">
        <f t="shared" si="2"/>
      </c>
      <c r="U11" s="210"/>
      <c r="V11" s="49"/>
      <c r="W11" s="85"/>
      <c r="X11" s="170"/>
      <c r="Y11" s="171"/>
      <c r="Z11" s="171"/>
      <c r="AA11" s="172"/>
      <c r="AB11" s="173"/>
      <c r="AC11" s="90"/>
      <c r="AD11" s="98"/>
      <c r="AE11" s="118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20"/>
      <c r="AQ11" s="99"/>
    </row>
    <row r="12" spans="1:43" ht="15" customHeight="1" hidden="1" outlineLevel="2" thickBot="1">
      <c r="A12" s="137"/>
      <c r="B12" s="137"/>
      <c r="C12" s="73"/>
      <c r="D12" s="16"/>
      <c r="E12" s="11"/>
      <c r="F12" s="25"/>
      <c r="G12" s="63"/>
      <c r="H12" s="272" t="s">
        <v>22</v>
      </c>
      <c r="I12" s="273"/>
      <c r="J12" s="273"/>
      <c r="K12" s="273"/>
      <c r="L12" s="274"/>
      <c r="M12" s="53"/>
      <c r="N12" s="60"/>
      <c r="O12" s="48"/>
      <c r="P12" s="272" t="s">
        <v>22</v>
      </c>
      <c r="Q12" s="273"/>
      <c r="R12" s="273"/>
      <c r="S12" s="273"/>
      <c r="T12" s="274"/>
      <c r="U12" s="211"/>
      <c r="V12" s="49"/>
      <c r="W12" s="85"/>
      <c r="X12" s="266"/>
      <c r="Y12" s="267"/>
      <c r="Z12" s="267"/>
      <c r="AA12" s="268"/>
      <c r="AB12" s="174"/>
      <c r="AC12" s="90"/>
      <c r="AD12" s="98"/>
      <c r="AE12" s="118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20"/>
      <c r="AQ12" s="99"/>
    </row>
    <row r="13" spans="1:43" ht="34.5" customHeight="1" outlineLevel="1" collapsed="1" thickBot="1" thickTop="1">
      <c r="A13" s="131" t="s">
        <v>208</v>
      </c>
      <c r="B13" s="131" t="s">
        <v>113</v>
      </c>
      <c r="C13" s="71">
        <f>D13+E13</f>
        <v>2</v>
      </c>
      <c r="D13" s="14">
        <v>1</v>
      </c>
      <c r="E13" s="13">
        <v>1</v>
      </c>
      <c r="F13" s="23">
        <v>2</v>
      </c>
      <c r="G13" s="61"/>
      <c r="H13" s="145">
        <v>0.25</v>
      </c>
      <c r="I13" s="80">
        <v>0.43</v>
      </c>
      <c r="J13" s="80">
        <v>0.2</v>
      </c>
      <c r="K13" s="80">
        <v>0.25</v>
      </c>
      <c r="L13" s="146"/>
      <c r="M13" s="130">
        <f>SUM(H13:L13)</f>
        <v>1.13</v>
      </c>
      <c r="N13" s="60"/>
      <c r="O13" s="48"/>
      <c r="P13" s="145">
        <f aca="true" t="shared" si="3" ref="P13:T14">IF(H13=0,"",H13)</f>
        <v>0.25</v>
      </c>
      <c r="Q13" s="80">
        <f t="shared" si="3"/>
        <v>0.43</v>
      </c>
      <c r="R13" s="80">
        <f t="shared" si="3"/>
        <v>0.2</v>
      </c>
      <c r="S13" s="80">
        <f t="shared" si="3"/>
        <v>0.25</v>
      </c>
      <c r="T13" s="146">
        <f t="shared" si="3"/>
      </c>
      <c r="U13" s="209">
        <f>SUM(P13:T13)</f>
        <v>1.13</v>
      </c>
      <c r="V13" s="49"/>
      <c r="W13" s="85"/>
      <c r="X13" s="166">
        <v>0.25</v>
      </c>
      <c r="Y13" s="167">
        <v>0.2</v>
      </c>
      <c r="Z13" s="167">
        <v>0.43</v>
      </c>
      <c r="AA13" s="168"/>
      <c r="AB13" s="169">
        <f>SUM(X13:Z13)</f>
        <v>0.88</v>
      </c>
      <c r="AC13" s="90"/>
      <c r="AD13" s="98"/>
      <c r="AE13" s="118"/>
      <c r="AF13" s="119">
        <v>0.43</v>
      </c>
      <c r="AG13" s="119"/>
      <c r="AH13" s="119"/>
      <c r="AI13" s="119"/>
      <c r="AJ13" s="119"/>
      <c r="AK13" s="119"/>
      <c r="AL13" s="119"/>
      <c r="AM13" s="119"/>
      <c r="AN13" s="119"/>
      <c r="AO13" s="119"/>
      <c r="AP13" s="120">
        <f>SUM(AE13:AO13)</f>
        <v>0.43</v>
      </c>
      <c r="AQ13" s="99"/>
    </row>
    <row r="14" spans="1:43" ht="16.5" hidden="1" outlineLevel="2" thickBot="1">
      <c r="A14" s="132"/>
      <c r="B14" s="132"/>
      <c r="C14" s="72"/>
      <c r="D14" s="15"/>
      <c r="E14" s="10"/>
      <c r="F14" s="24"/>
      <c r="G14" s="62"/>
      <c r="H14" s="52" t="s">
        <v>9</v>
      </c>
      <c r="I14" s="1" t="s">
        <v>10</v>
      </c>
      <c r="J14" s="128" t="s">
        <v>11</v>
      </c>
      <c r="K14" s="1" t="s">
        <v>12</v>
      </c>
      <c r="L14" s="2"/>
      <c r="M14" s="5"/>
      <c r="N14" s="60"/>
      <c r="O14" s="48"/>
      <c r="P14" s="52" t="str">
        <f t="shared" si="3"/>
        <v>note 1</v>
      </c>
      <c r="Q14" s="1" t="str">
        <f t="shared" si="3"/>
        <v>note 2</v>
      </c>
      <c r="R14" s="1" t="str">
        <f t="shared" si="3"/>
        <v>note 3</v>
      </c>
      <c r="S14" s="1" t="str">
        <f t="shared" si="3"/>
        <v>note 4</v>
      </c>
      <c r="T14" s="2">
        <f t="shared" si="3"/>
      </c>
      <c r="U14" s="210"/>
      <c r="V14" s="49"/>
      <c r="W14" s="85"/>
      <c r="X14" s="170"/>
      <c r="Y14" s="171"/>
      <c r="Z14" s="171" t="s">
        <v>75</v>
      </c>
      <c r="AA14" s="172"/>
      <c r="AB14" s="173"/>
      <c r="AC14" s="90"/>
      <c r="AD14" s="98"/>
      <c r="AE14" s="118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20"/>
      <c r="AQ14" s="99"/>
    </row>
    <row r="15" spans="1:43" ht="15.75" customHeight="1" hidden="1" outlineLevel="2">
      <c r="A15" s="132"/>
      <c r="B15" s="132"/>
      <c r="C15" s="72"/>
      <c r="D15" s="15"/>
      <c r="E15" s="10"/>
      <c r="F15" s="24"/>
      <c r="G15" s="62"/>
      <c r="H15" s="246" t="s">
        <v>153</v>
      </c>
      <c r="I15" s="247"/>
      <c r="J15" s="247"/>
      <c r="K15" s="247"/>
      <c r="L15" s="248"/>
      <c r="M15" s="53"/>
      <c r="N15" s="60"/>
      <c r="O15" s="48"/>
      <c r="P15" s="246" t="str">
        <f aca="true" t="shared" si="4" ref="P15:P20">H15</f>
        <v>(1) Chair of speakers’ committee</v>
      </c>
      <c r="Q15" s="247"/>
      <c r="R15" s="247"/>
      <c r="S15" s="247"/>
      <c r="T15" s="248"/>
      <c r="U15" s="211"/>
      <c r="V15" s="49"/>
      <c r="W15" s="85"/>
      <c r="X15" s="231" t="s">
        <v>76</v>
      </c>
      <c r="Y15" s="232"/>
      <c r="Z15" s="232"/>
      <c r="AA15" s="233"/>
      <c r="AB15" s="174"/>
      <c r="AC15" s="90"/>
      <c r="AD15" s="98"/>
      <c r="AE15" s="118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20"/>
      <c r="AQ15" s="99"/>
    </row>
    <row r="16" spans="1:43" ht="29.25" customHeight="1" hidden="1" outlineLevel="2">
      <c r="A16" s="132"/>
      <c r="B16" s="132"/>
      <c r="C16" s="72"/>
      <c r="D16" s="15"/>
      <c r="E16" s="10"/>
      <c r="F16" s="24"/>
      <c r="G16" s="62"/>
      <c r="H16" s="237" t="s">
        <v>154</v>
      </c>
      <c r="I16" s="238"/>
      <c r="J16" s="238"/>
      <c r="K16" s="238"/>
      <c r="L16" s="239"/>
      <c r="M16" s="53"/>
      <c r="N16" s="60"/>
      <c r="O16" s="48"/>
      <c r="P16" s="237" t="str">
        <f t="shared" si="4"/>
        <v>(2) Standard Candle Vertex and Energy Calibration  (Tooker 0.4), 0.03M</v>
      </c>
      <c r="Q16" s="238"/>
      <c r="R16" s="238"/>
      <c r="S16" s="238"/>
      <c r="T16" s="239"/>
      <c r="U16" s="211"/>
      <c r="V16" s="49"/>
      <c r="W16" s="85"/>
      <c r="X16" s="240"/>
      <c r="Y16" s="241"/>
      <c r="Z16" s="241"/>
      <c r="AA16" s="242"/>
      <c r="AB16" s="174"/>
      <c r="AC16" s="90"/>
      <c r="AD16" s="98"/>
      <c r="AE16" s="118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20"/>
      <c r="AQ16" s="99"/>
    </row>
    <row r="17" spans="1:43" ht="15.75" customHeight="1" hidden="1" outlineLevel="2">
      <c r="A17" s="133"/>
      <c r="B17" s="133"/>
      <c r="C17" s="72"/>
      <c r="D17" s="15"/>
      <c r="E17" s="10"/>
      <c r="F17" s="24"/>
      <c r="G17" s="62"/>
      <c r="H17" s="237" t="s">
        <v>156</v>
      </c>
      <c r="I17" s="238"/>
      <c r="J17" s="238"/>
      <c r="K17" s="238"/>
      <c r="L17" s="239"/>
      <c r="M17" s="53"/>
      <c r="N17" s="60"/>
      <c r="O17" s="48"/>
      <c r="P17" s="237" t="str">
        <f t="shared" si="4"/>
        <v>(3) Simulation Production (Tepe 0.2 - starts on September 2009)</v>
      </c>
      <c r="Q17" s="238"/>
      <c r="R17" s="238"/>
      <c r="S17" s="238"/>
      <c r="T17" s="239"/>
      <c r="U17" s="211"/>
      <c r="V17" s="49"/>
      <c r="W17" s="85"/>
      <c r="X17" s="240"/>
      <c r="Y17" s="241"/>
      <c r="Z17" s="241"/>
      <c r="AA17" s="242"/>
      <c r="AB17" s="174"/>
      <c r="AC17" s="90"/>
      <c r="AD17" s="98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20"/>
      <c r="AQ17" s="99"/>
    </row>
    <row r="18" spans="1:43" ht="15.75" customHeight="1" hidden="1" outlineLevel="2">
      <c r="A18" s="133"/>
      <c r="B18" s="133"/>
      <c r="C18" s="72"/>
      <c r="D18" s="15"/>
      <c r="E18" s="10"/>
      <c r="F18" s="24"/>
      <c r="G18" s="62"/>
      <c r="H18" s="237" t="s">
        <v>155</v>
      </c>
      <c r="I18" s="238"/>
      <c r="J18" s="238"/>
      <c r="K18" s="238"/>
      <c r="L18" s="239"/>
      <c r="M18" s="53"/>
      <c r="N18" s="60"/>
      <c r="O18" s="48"/>
      <c r="P18" s="237" t="str">
        <f t="shared" si="4"/>
        <v>(4) GRB working group lead</v>
      </c>
      <c r="Q18" s="238"/>
      <c r="R18" s="238"/>
      <c r="S18" s="238"/>
      <c r="T18" s="239"/>
      <c r="U18" s="211"/>
      <c r="V18" s="49"/>
      <c r="W18" s="85"/>
      <c r="X18" s="240"/>
      <c r="Y18" s="241"/>
      <c r="Z18" s="241"/>
      <c r="AA18" s="242"/>
      <c r="AB18" s="174"/>
      <c r="AC18" s="90"/>
      <c r="AD18" s="98"/>
      <c r="AE18" s="118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20"/>
      <c r="AQ18" s="99"/>
    </row>
    <row r="19" spans="1:43" ht="15.75" customHeight="1" hidden="1" outlineLevel="2" thickBot="1">
      <c r="A19" s="133"/>
      <c r="B19" s="133"/>
      <c r="C19" s="72"/>
      <c r="D19" s="15"/>
      <c r="E19" s="10"/>
      <c r="F19" s="24"/>
      <c r="G19" s="62"/>
      <c r="H19" s="237"/>
      <c r="I19" s="238"/>
      <c r="J19" s="238"/>
      <c r="K19" s="238"/>
      <c r="L19" s="239"/>
      <c r="M19" s="53"/>
      <c r="N19" s="60"/>
      <c r="O19" s="48"/>
      <c r="P19" s="237">
        <f t="shared" si="4"/>
        <v>0</v>
      </c>
      <c r="Q19" s="238"/>
      <c r="R19" s="238"/>
      <c r="S19" s="238"/>
      <c r="T19" s="239"/>
      <c r="U19" s="211"/>
      <c r="V19" s="49"/>
      <c r="W19" s="85"/>
      <c r="X19" s="240"/>
      <c r="Y19" s="241"/>
      <c r="Z19" s="241"/>
      <c r="AA19" s="242"/>
      <c r="AB19" s="174"/>
      <c r="AC19" s="90"/>
      <c r="AD19" s="98"/>
      <c r="AE19" s="118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20"/>
      <c r="AQ19" s="99"/>
    </row>
    <row r="20" spans="1:43" ht="34.5" customHeight="1" outlineLevel="1" collapsed="1" thickBot="1" thickTop="1">
      <c r="A20" s="131" t="s">
        <v>208</v>
      </c>
      <c r="B20" s="131" t="s">
        <v>114</v>
      </c>
      <c r="C20" s="71">
        <f>D20+E20</f>
        <v>7</v>
      </c>
      <c r="D20" s="14">
        <v>3</v>
      </c>
      <c r="E20" s="13">
        <v>4</v>
      </c>
      <c r="F20" s="23">
        <v>1</v>
      </c>
      <c r="G20" s="61"/>
      <c r="H20" s="145">
        <v>0.4</v>
      </c>
      <c r="I20" s="80">
        <v>1.14</v>
      </c>
      <c r="J20" s="80">
        <v>0.2</v>
      </c>
      <c r="K20" s="80">
        <v>0.25</v>
      </c>
      <c r="L20" s="146">
        <v>0.35</v>
      </c>
      <c r="M20" s="130">
        <f>SUM(H20:L20)</f>
        <v>2.34</v>
      </c>
      <c r="N20" s="60"/>
      <c r="O20" s="48"/>
      <c r="P20" s="145">
        <f t="shared" si="4"/>
        <v>0.4</v>
      </c>
      <c r="Q20" s="80">
        <f>I20-0.5-0.15</f>
        <v>0.4899999999999999</v>
      </c>
      <c r="R20" s="80">
        <f>J20</f>
        <v>0.2</v>
      </c>
      <c r="S20" s="80">
        <f>K20</f>
        <v>0.25</v>
      </c>
      <c r="T20" s="146">
        <f>L20</f>
        <v>0.35</v>
      </c>
      <c r="U20" s="209">
        <f>SUM(P20:T20)</f>
        <v>1.69</v>
      </c>
      <c r="V20" s="49"/>
      <c r="W20" s="85"/>
      <c r="X20" s="166">
        <v>0.9</v>
      </c>
      <c r="Y20" s="167">
        <v>0.775</v>
      </c>
      <c r="Z20" s="167">
        <v>0.015</v>
      </c>
      <c r="AA20" s="168"/>
      <c r="AB20" s="169">
        <f>SUM(X20:Z20)</f>
        <v>1.69</v>
      </c>
      <c r="AC20" s="90"/>
      <c r="AD20" s="98"/>
      <c r="AE20" s="118">
        <v>0.015</v>
      </c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20">
        <f>SUM(AE20:AO20)</f>
        <v>0.015</v>
      </c>
      <c r="AQ20" s="99"/>
    </row>
    <row r="21" spans="1:43" ht="16.5" hidden="1" outlineLevel="2" thickBot="1">
      <c r="A21" s="132"/>
      <c r="B21" s="132"/>
      <c r="C21" s="72"/>
      <c r="D21" s="15"/>
      <c r="E21" s="10"/>
      <c r="F21" s="24"/>
      <c r="G21" s="62"/>
      <c r="H21" s="52" t="s">
        <v>9</v>
      </c>
      <c r="I21" s="1" t="s">
        <v>10</v>
      </c>
      <c r="J21" s="1" t="s">
        <v>11</v>
      </c>
      <c r="K21" s="1" t="s">
        <v>12</v>
      </c>
      <c r="L21" s="2" t="s">
        <v>13</v>
      </c>
      <c r="M21" s="5"/>
      <c r="N21" s="60"/>
      <c r="O21" s="48"/>
      <c r="P21" s="52" t="s">
        <v>9</v>
      </c>
      <c r="Q21" s="1" t="s">
        <v>10</v>
      </c>
      <c r="R21" s="1" t="s">
        <v>11</v>
      </c>
      <c r="S21" s="1" t="s">
        <v>12</v>
      </c>
      <c r="T21" s="2" t="s">
        <v>13</v>
      </c>
      <c r="U21" s="210"/>
      <c r="V21" s="49"/>
      <c r="W21" s="85"/>
      <c r="X21" s="170"/>
      <c r="Y21" s="171"/>
      <c r="Z21" s="171" t="s">
        <v>75</v>
      </c>
      <c r="AA21" s="172"/>
      <c r="AB21" s="173"/>
      <c r="AC21" s="90"/>
      <c r="AD21" s="98"/>
      <c r="AE21" s="118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20"/>
      <c r="AQ21" s="99"/>
    </row>
    <row r="22" spans="1:43" ht="18" customHeight="1" hidden="1" outlineLevel="2">
      <c r="A22" s="132"/>
      <c r="B22" s="132"/>
      <c r="C22" s="72"/>
      <c r="D22" s="15"/>
      <c r="E22" s="10"/>
      <c r="F22" s="24"/>
      <c r="G22" s="62"/>
      <c r="H22" s="246" t="s">
        <v>5</v>
      </c>
      <c r="I22" s="247"/>
      <c r="J22" s="247"/>
      <c r="K22" s="247"/>
      <c r="L22" s="248"/>
      <c r="M22" s="53"/>
      <c r="N22" s="60"/>
      <c r="O22" s="48"/>
      <c r="P22" s="246" t="str">
        <f>H22</f>
        <v>(1). Chair of Publications Comm.</v>
      </c>
      <c r="Q22" s="247"/>
      <c r="R22" s="247"/>
      <c r="S22" s="247"/>
      <c r="T22" s="248"/>
      <c r="U22" s="211"/>
      <c r="V22" s="49"/>
      <c r="W22" s="85"/>
      <c r="X22" s="231" t="s">
        <v>76</v>
      </c>
      <c r="Y22" s="232"/>
      <c r="Z22" s="232"/>
      <c r="AA22" s="233"/>
      <c r="AB22" s="174"/>
      <c r="AC22" s="90"/>
      <c r="AD22" s="98"/>
      <c r="AE22" s="118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20"/>
      <c r="AQ22" s="99"/>
    </row>
    <row r="23" spans="1:43" ht="51" customHeight="1" hidden="1" outlineLevel="2">
      <c r="A23" s="132"/>
      <c r="B23" s="132"/>
      <c r="C23" s="72"/>
      <c r="D23" s="15"/>
      <c r="E23" s="10"/>
      <c r="F23" s="24"/>
      <c r="G23" s="62"/>
      <c r="H23" s="237" t="s">
        <v>165</v>
      </c>
      <c r="I23" s="238"/>
      <c r="J23" s="238"/>
      <c r="K23" s="238"/>
      <c r="L23" s="239"/>
      <c r="M23" s="53"/>
      <c r="N23" s="60"/>
      <c r="O23" s="48"/>
      <c r="P23" s="237" t="s">
        <v>225</v>
      </c>
      <c r="Q23" s="238"/>
      <c r="R23" s="238"/>
      <c r="S23" s="238"/>
      <c r="T23" s="239"/>
      <c r="U23" s="211"/>
      <c r="V23" s="49"/>
      <c r="W23" s="85"/>
      <c r="X23" s="240"/>
      <c r="Y23" s="241"/>
      <c r="Z23" s="241"/>
      <c r="AA23" s="242"/>
      <c r="AB23" s="174"/>
      <c r="AC23" s="90"/>
      <c r="AD23" s="98"/>
      <c r="AE23" s="118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20"/>
      <c r="AQ23" s="99"/>
    </row>
    <row r="24" spans="1:43" ht="15.75" customHeight="1" hidden="1" outlineLevel="2">
      <c r="A24" s="133"/>
      <c r="B24" s="133"/>
      <c r="C24" s="72"/>
      <c r="D24" s="15"/>
      <c r="E24" s="10"/>
      <c r="F24" s="24"/>
      <c r="G24" s="62"/>
      <c r="H24" s="237" t="s">
        <v>6</v>
      </c>
      <c r="I24" s="238"/>
      <c r="J24" s="238"/>
      <c r="K24" s="238"/>
      <c r="L24" s="239"/>
      <c r="M24" s="53"/>
      <c r="N24" s="60"/>
      <c r="O24" s="48"/>
      <c r="P24" s="237" t="str">
        <f>H24</f>
        <v>(3). Simulation production </v>
      </c>
      <c r="Q24" s="238"/>
      <c r="R24" s="238"/>
      <c r="S24" s="238"/>
      <c r="T24" s="239"/>
      <c r="U24" s="211"/>
      <c r="V24" s="49"/>
      <c r="W24" s="85"/>
      <c r="X24" s="240"/>
      <c r="Y24" s="241"/>
      <c r="Z24" s="241"/>
      <c r="AA24" s="242"/>
      <c r="AB24" s="174"/>
      <c r="AC24" s="90"/>
      <c r="AD24" s="98"/>
      <c r="AE24" s="118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20"/>
      <c r="AQ24" s="99"/>
    </row>
    <row r="25" spans="1:43" ht="24" customHeight="1" hidden="1" outlineLevel="2">
      <c r="A25" s="133"/>
      <c r="B25" s="133"/>
      <c r="C25" s="72"/>
      <c r="D25" s="15"/>
      <c r="E25" s="10"/>
      <c r="F25" s="24"/>
      <c r="G25" s="62"/>
      <c r="H25" s="237" t="s">
        <v>7</v>
      </c>
      <c r="I25" s="238"/>
      <c r="J25" s="238"/>
      <c r="K25" s="238"/>
      <c r="L25" s="239"/>
      <c r="M25" s="53"/>
      <c r="N25" s="60"/>
      <c r="O25" s="48"/>
      <c r="P25" s="237" t="str">
        <f>H25</f>
        <v>(4). Chair of cascade working grp.</v>
      </c>
      <c r="Q25" s="238"/>
      <c r="R25" s="238"/>
      <c r="S25" s="238"/>
      <c r="T25" s="239"/>
      <c r="U25" s="211"/>
      <c r="V25" s="49"/>
      <c r="W25" s="85"/>
      <c r="X25" s="240"/>
      <c r="Y25" s="241"/>
      <c r="Z25" s="241"/>
      <c r="AA25" s="242"/>
      <c r="AB25" s="174"/>
      <c r="AC25" s="90"/>
      <c r="AD25" s="98"/>
      <c r="AE25" s="118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20"/>
      <c r="AQ25" s="99"/>
    </row>
    <row r="26" spans="1:43" ht="33.75" customHeight="1" hidden="1" outlineLevel="2" thickBot="1">
      <c r="A26" s="134"/>
      <c r="B26" s="134"/>
      <c r="C26" s="73"/>
      <c r="D26" s="16"/>
      <c r="E26" s="11"/>
      <c r="F26" s="25"/>
      <c r="G26" s="63"/>
      <c r="H26" s="227" t="s">
        <v>164</v>
      </c>
      <c r="I26" s="221"/>
      <c r="J26" s="221"/>
      <c r="K26" s="221"/>
      <c r="L26" s="222"/>
      <c r="M26" s="53"/>
      <c r="N26" s="60"/>
      <c r="O26" s="48"/>
      <c r="P26" s="227" t="str">
        <f>H26</f>
        <v>(5) Stijn Buitink to take over DOM simulator &amp; calibrator; Klein diffuse co-chair pro-tem</v>
      </c>
      <c r="Q26" s="221"/>
      <c r="R26" s="221"/>
      <c r="S26" s="221"/>
      <c r="T26" s="222"/>
      <c r="U26" s="211"/>
      <c r="V26" s="49"/>
      <c r="W26" s="85"/>
      <c r="X26" s="243"/>
      <c r="Y26" s="244"/>
      <c r="Z26" s="244"/>
      <c r="AA26" s="245"/>
      <c r="AB26" s="174"/>
      <c r="AC26" s="90"/>
      <c r="AD26" s="98"/>
      <c r="AE26" s="118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20"/>
      <c r="AQ26" s="99"/>
    </row>
    <row r="27" spans="1:43" ht="34.5" customHeight="1" outlineLevel="1" collapsed="1" thickBot="1" thickTop="1">
      <c r="A27" s="131" t="s">
        <v>208</v>
      </c>
      <c r="B27" s="131" t="s">
        <v>115</v>
      </c>
      <c r="C27" s="71">
        <f>D27+E27</f>
        <v>3</v>
      </c>
      <c r="D27" s="14">
        <v>1</v>
      </c>
      <c r="E27" s="13">
        <v>2</v>
      </c>
      <c r="F27" s="23">
        <v>1</v>
      </c>
      <c r="G27" s="61"/>
      <c r="H27" s="145">
        <v>0.05</v>
      </c>
      <c r="I27" s="80">
        <v>0.23</v>
      </c>
      <c r="J27" s="80"/>
      <c r="K27" s="80">
        <v>0.3</v>
      </c>
      <c r="L27" s="146">
        <v>0.4</v>
      </c>
      <c r="M27" s="130">
        <f>SUM(H27:L27)</f>
        <v>0.9800000000000001</v>
      </c>
      <c r="N27" s="60"/>
      <c r="O27" s="48"/>
      <c r="P27" s="145">
        <f aca="true" t="shared" si="5" ref="P27:T28">IF(H27=0,"",H27)</f>
        <v>0.05</v>
      </c>
      <c r="Q27" s="80">
        <f t="shared" si="5"/>
        <v>0.23</v>
      </c>
      <c r="R27" s="80">
        <f t="shared" si="5"/>
      </c>
      <c r="S27" s="80">
        <f t="shared" si="5"/>
        <v>0.3</v>
      </c>
      <c r="T27" s="146">
        <f t="shared" si="5"/>
        <v>0.4</v>
      </c>
      <c r="U27" s="209">
        <f>SUM(P27:T27)</f>
        <v>0.9800000000000001</v>
      </c>
      <c r="V27" s="49"/>
      <c r="W27" s="85"/>
      <c r="X27" s="166"/>
      <c r="Y27" s="167">
        <v>0.66</v>
      </c>
      <c r="Z27" s="167">
        <v>0.17</v>
      </c>
      <c r="AA27" s="168"/>
      <c r="AB27" s="169">
        <f>SUM(X27:Z27)</f>
        <v>0.8300000000000001</v>
      </c>
      <c r="AC27" s="90"/>
      <c r="AD27" s="98"/>
      <c r="AE27" s="118">
        <v>0.015</v>
      </c>
      <c r="AF27" s="119"/>
      <c r="AG27" s="119"/>
      <c r="AH27" s="119"/>
      <c r="AI27" s="119"/>
      <c r="AJ27" s="119"/>
      <c r="AK27" s="119">
        <v>0.15</v>
      </c>
      <c r="AL27" s="119"/>
      <c r="AM27" s="119"/>
      <c r="AN27" s="119"/>
      <c r="AO27" s="119"/>
      <c r="AP27" s="120">
        <f>SUM(AE27:AO27)</f>
        <v>0.16499999999999998</v>
      </c>
      <c r="AQ27" s="99"/>
    </row>
    <row r="28" spans="1:43" ht="16.5" hidden="1" outlineLevel="2" thickBot="1">
      <c r="A28" s="132"/>
      <c r="B28" s="132"/>
      <c r="C28" s="72"/>
      <c r="D28" s="15"/>
      <c r="E28" s="10"/>
      <c r="F28" s="24"/>
      <c r="G28" s="62"/>
      <c r="H28" s="1" t="s">
        <v>9</v>
      </c>
      <c r="I28" s="1" t="s">
        <v>10</v>
      </c>
      <c r="J28" s="1"/>
      <c r="K28" s="1" t="s">
        <v>11</v>
      </c>
      <c r="L28" s="2" t="s">
        <v>12</v>
      </c>
      <c r="M28" s="5"/>
      <c r="N28" s="60"/>
      <c r="O28" s="48"/>
      <c r="P28" s="52" t="str">
        <f t="shared" si="5"/>
        <v>note 1</v>
      </c>
      <c r="Q28" s="1" t="str">
        <f t="shared" si="5"/>
        <v>note 2</v>
      </c>
      <c r="R28" s="1">
        <f t="shared" si="5"/>
      </c>
      <c r="S28" s="1" t="str">
        <f t="shared" si="5"/>
        <v>note 3</v>
      </c>
      <c r="T28" s="2" t="str">
        <f t="shared" si="5"/>
        <v>note 4</v>
      </c>
      <c r="U28" s="210"/>
      <c r="V28" s="49"/>
      <c r="W28" s="85"/>
      <c r="X28" s="170"/>
      <c r="Y28" s="171"/>
      <c r="Z28" s="171" t="s">
        <v>75</v>
      </c>
      <c r="AA28" s="172"/>
      <c r="AB28" s="173"/>
      <c r="AC28" s="90"/>
      <c r="AD28" s="98"/>
      <c r="AE28" s="118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20"/>
      <c r="AQ28" s="99"/>
    </row>
    <row r="29" spans="1:43" ht="15.75" customHeight="1" hidden="1" outlineLevel="2">
      <c r="A29" s="132"/>
      <c r="B29" s="132"/>
      <c r="C29" s="72"/>
      <c r="D29" s="15"/>
      <c r="E29" s="10"/>
      <c r="F29" s="24"/>
      <c r="G29" s="62"/>
      <c r="H29" s="246" t="s">
        <v>227</v>
      </c>
      <c r="I29" s="247"/>
      <c r="J29" s="247"/>
      <c r="K29" s="247"/>
      <c r="L29" s="248"/>
      <c r="M29" s="53"/>
      <c r="N29" s="60"/>
      <c r="O29" s="48"/>
      <c r="P29" s="246" t="str">
        <f>H29</f>
        <v>(1). Outreach (Rott/Stamatikos) 0.05</v>
      </c>
      <c r="Q29" s="247"/>
      <c r="R29" s="247"/>
      <c r="S29" s="247"/>
      <c r="T29" s="248"/>
      <c r="U29" s="211"/>
      <c r="V29" s="49"/>
      <c r="W29" s="85"/>
      <c r="X29" s="231" t="s">
        <v>77</v>
      </c>
      <c r="Y29" s="232"/>
      <c r="Z29" s="232"/>
      <c r="AA29" s="233"/>
      <c r="AB29" s="174"/>
      <c r="AC29" s="90"/>
      <c r="AD29" s="98"/>
      <c r="AE29" s="118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20"/>
      <c r="AQ29" s="99"/>
    </row>
    <row r="30" spans="1:43" ht="15.75" customHeight="1" hidden="1" outlineLevel="2">
      <c r="A30" s="132"/>
      <c r="B30" s="132"/>
      <c r="C30" s="72"/>
      <c r="D30" s="15"/>
      <c r="E30" s="10"/>
      <c r="F30" s="24"/>
      <c r="G30" s="62"/>
      <c r="H30" s="237" t="s">
        <v>226</v>
      </c>
      <c r="I30" s="238"/>
      <c r="J30" s="238"/>
      <c r="K30" s="238"/>
      <c r="L30" s="239"/>
      <c r="M30" s="53"/>
      <c r="N30" s="60"/>
      <c r="O30" s="48"/>
      <c r="P30" s="237" t="str">
        <f>H30</f>
        <v>(2). Maintain bad DOM list (C. Rott, 0.2); 0.03M</v>
      </c>
      <c r="Q30" s="238"/>
      <c r="R30" s="238"/>
      <c r="S30" s="238"/>
      <c r="T30" s="239"/>
      <c r="U30" s="211"/>
      <c r="V30" s="49"/>
      <c r="W30" s="85"/>
      <c r="X30" s="197"/>
      <c r="Y30" s="198"/>
      <c r="Z30" s="198"/>
      <c r="AA30" s="199"/>
      <c r="AB30" s="174"/>
      <c r="AC30" s="90"/>
      <c r="AD30" s="98"/>
      <c r="AE30" s="118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20"/>
      <c r="AQ30" s="99"/>
    </row>
    <row r="31" spans="1:43" ht="28.5" customHeight="1" hidden="1" outlineLevel="2">
      <c r="A31" s="133"/>
      <c r="B31" s="133"/>
      <c r="C31" s="72"/>
      <c r="D31" s="15"/>
      <c r="E31" s="10"/>
      <c r="F31" s="24"/>
      <c r="G31" s="62"/>
      <c r="H31" s="237" t="s">
        <v>228</v>
      </c>
      <c r="I31" s="238"/>
      <c r="J31" s="238"/>
      <c r="K31" s="238"/>
      <c r="L31" s="239"/>
      <c r="M31" s="53"/>
      <c r="N31" s="60"/>
      <c r="O31" s="48"/>
      <c r="P31" s="237" t="str">
        <f>H31</f>
        <v>(3). DeepCore filter (Jim Davis, 0.15),  IceCube filter: vertical events for oscillation analysis and Earth WIMPs (0.15)</v>
      </c>
      <c r="Q31" s="238"/>
      <c r="R31" s="238"/>
      <c r="S31" s="238"/>
      <c r="T31" s="239"/>
      <c r="U31" s="211"/>
      <c r="V31" s="49"/>
      <c r="W31" s="85"/>
      <c r="X31" s="240"/>
      <c r="Y31" s="241"/>
      <c r="Z31" s="241"/>
      <c r="AA31" s="242"/>
      <c r="AB31" s="174"/>
      <c r="AC31" s="90"/>
      <c r="AD31" s="98"/>
      <c r="AE31" s="118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20"/>
      <c r="AQ31" s="99"/>
    </row>
    <row r="32" spans="1:43" ht="16.5" customHeight="1" hidden="1" outlineLevel="2" thickBot="1">
      <c r="A32" s="134"/>
      <c r="B32" s="134"/>
      <c r="C32" s="73"/>
      <c r="D32" s="16"/>
      <c r="E32" s="11"/>
      <c r="F32" s="25"/>
      <c r="G32" s="63"/>
      <c r="H32" s="227" t="s">
        <v>229</v>
      </c>
      <c r="I32" s="221"/>
      <c r="J32" s="221"/>
      <c r="K32" s="221"/>
      <c r="L32" s="222"/>
      <c r="M32" s="53"/>
      <c r="N32" s="60"/>
      <c r="O32" s="48"/>
      <c r="P32" s="227" t="str">
        <f>H32</f>
        <v>(4). Data quality and long term data stability</v>
      </c>
      <c r="Q32" s="221"/>
      <c r="R32" s="221"/>
      <c r="S32" s="221"/>
      <c r="T32" s="222"/>
      <c r="U32" s="211"/>
      <c r="V32" s="49"/>
      <c r="W32" s="85"/>
      <c r="X32" s="243"/>
      <c r="Y32" s="244"/>
      <c r="Z32" s="244"/>
      <c r="AA32" s="245"/>
      <c r="AB32" s="174"/>
      <c r="AC32" s="90"/>
      <c r="AD32" s="98"/>
      <c r="AE32" s="118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20"/>
      <c r="AQ32" s="99"/>
    </row>
    <row r="33" spans="1:43" ht="34.5" customHeight="1" outlineLevel="1" collapsed="1" thickBot="1" thickTop="1">
      <c r="A33" s="131" t="s">
        <v>208</v>
      </c>
      <c r="B33" s="131" t="s">
        <v>116</v>
      </c>
      <c r="C33" s="71">
        <f>D33+E33</f>
        <v>6</v>
      </c>
      <c r="D33" s="14">
        <v>3</v>
      </c>
      <c r="E33" s="13">
        <v>3</v>
      </c>
      <c r="F33" s="23">
        <v>2</v>
      </c>
      <c r="G33" s="61"/>
      <c r="H33" s="145">
        <v>0.3</v>
      </c>
      <c r="I33" s="150">
        <v>0.21</v>
      </c>
      <c r="J33" s="80">
        <v>0.58</v>
      </c>
      <c r="K33" s="80">
        <v>0.7</v>
      </c>
      <c r="L33" s="146">
        <v>0.47</v>
      </c>
      <c r="M33" s="130">
        <f>SUM(H33:L33)</f>
        <v>2.26</v>
      </c>
      <c r="N33" s="60"/>
      <c r="O33" s="48"/>
      <c r="P33" s="145">
        <f>H33</f>
        <v>0.3</v>
      </c>
      <c r="Q33" s="80">
        <f>I33-0.15</f>
        <v>0.06</v>
      </c>
      <c r="R33" s="80">
        <f>J33-0.25</f>
        <v>0.32999999999999996</v>
      </c>
      <c r="S33" s="80">
        <f>K33</f>
        <v>0.7</v>
      </c>
      <c r="T33" s="146">
        <f>L33</f>
        <v>0.47</v>
      </c>
      <c r="U33" s="209">
        <f>SUM(P33:T33)</f>
        <v>1.8599999999999999</v>
      </c>
      <c r="V33" s="49"/>
      <c r="W33" s="85"/>
      <c r="X33" s="166">
        <f>0.35+0.3</f>
        <v>0.6499999999999999</v>
      </c>
      <c r="Y33" s="167">
        <f>0.38+0.25+0.15+0.25+0.1</f>
        <v>1.1300000000000001</v>
      </c>
      <c r="Z33" s="167">
        <f>0.25+0.15+0.03+0.3</f>
        <v>0.73</v>
      </c>
      <c r="AA33" s="168"/>
      <c r="AB33" s="169">
        <f>SUM(X33:Z33)</f>
        <v>2.51</v>
      </c>
      <c r="AC33" s="90"/>
      <c r="AD33" s="98"/>
      <c r="AE33" s="118">
        <v>0.03</v>
      </c>
      <c r="AF33" s="119">
        <v>0.15</v>
      </c>
      <c r="AG33" s="119"/>
      <c r="AH33" s="119"/>
      <c r="AI33" s="119"/>
      <c r="AJ33" s="119"/>
      <c r="AK33" s="119">
        <v>0.15</v>
      </c>
      <c r="AL33" s="119">
        <v>0.25</v>
      </c>
      <c r="AM33" s="119"/>
      <c r="AN33" s="119">
        <v>0.15</v>
      </c>
      <c r="AO33" s="119"/>
      <c r="AP33" s="120">
        <f>SUM(AE33:AO33)</f>
        <v>0.73</v>
      </c>
      <c r="AQ33" s="99"/>
    </row>
    <row r="34" spans="1:43" ht="16.5" hidden="1" outlineLevel="2" thickBot="1">
      <c r="A34" s="132"/>
      <c r="B34" s="132"/>
      <c r="C34" s="72"/>
      <c r="D34" s="15"/>
      <c r="E34" s="10"/>
      <c r="F34" s="24"/>
      <c r="G34" s="62"/>
      <c r="H34" s="52" t="s">
        <v>9</v>
      </c>
      <c r="I34" s="1" t="s">
        <v>10</v>
      </c>
      <c r="J34" s="1" t="s">
        <v>11</v>
      </c>
      <c r="K34" s="1" t="s">
        <v>12</v>
      </c>
      <c r="L34" s="2" t="s">
        <v>13</v>
      </c>
      <c r="M34" s="5"/>
      <c r="N34" s="60"/>
      <c r="O34" s="48"/>
      <c r="P34" s="52" t="s">
        <v>9</v>
      </c>
      <c r="Q34" s="1" t="s">
        <v>10</v>
      </c>
      <c r="R34" s="1" t="s">
        <v>11</v>
      </c>
      <c r="S34" s="1" t="s">
        <v>12</v>
      </c>
      <c r="T34" s="2" t="s">
        <v>13</v>
      </c>
      <c r="U34" s="210"/>
      <c r="V34" s="49"/>
      <c r="W34" s="85"/>
      <c r="X34" s="170"/>
      <c r="Y34" s="171"/>
      <c r="Z34" s="171" t="s">
        <v>75</v>
      </c>
      <c r="AA34" s="172"/>
      <c r="AB34" s="173"/>
      <c r="AC34" s="90"/>
      <c r="AD34" s="98"/>
      <c r="AE34" s="118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20"/>
      <c r="AQ34" s="99"/>
    </row>
    <row r="35" spans="1:43" ht="28.5" customHeight="1" hidden="1" outlineLevel="2">
      <c r="A35" s="138"/>
      <c r="B35" s="138"/>
      <c r="C35" s="72"/>
      <c r="D35" s="15"/>
      <c r="E35" s="10"/>
      <c r="F35" s="24"/>
      <c r="G35" s="62"/>
      <c r="H35" s="246" t="s">
        <v>174</v>
      </c>
      <c r="I35" s="247"/>
      <c r="J35" s="247"/>
      <c r="K35" s="247"/>
      <c r="L35" s="248"/>
      <c r="M35" s="53"/>
      <c r="N35" s="60"/>
      <c r="O35" s="48"/>
      <c r="P35" s="246" t="s">
        <v>174</v>
      </c>
      <c r="Q35" s="247"/>
      <c r="R35" s="247"/>
      <c r="S35" s="247"/>
      <c r="T35" s="248"/>
      <c r="U35" s="211"/>
      <c r="V35" s="49"/>
      <c r="W35" s="85"/>
      <c r="X35" s="228" t="s">
        <v>78</v>
      </c>
      <c r="Y35" s="229"/>
      <c r="Z35" s="229"/>
      <c r="AA35" s="230"/>
      <c r="AB35" s="174"/>
      <c r="AC35" s="90"/>
      <c r="AD35" s="98"/>
      <c r="AE35" s="118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20"/>
      <c r="AQ35" s="99"/>
    </row>
    <row r="36" spans="1:43" ht="27" customHeight="1" hidden="1" outlineLevel="2">
      <c r="A36" s="133"/>
      <c r="B36" s="133"/>
      <c r="C36" s="72"/>
      <c r="D36" s="15"/>
      <c r="E36" s="10"/>
      <c r="F36" s="24"/>
      <c r="G36" s="62"/>
      <c r="H36" s="237" t="s">
        <v>222</v>
      </c>
      <c r="I36" s="238"/>
      <c r="J36" s="238"/>
      <c r="K36" s="238"/>
      <c r="L36" s="239"/>
      <c r="M36" s="53"/>
      <c r="N36" s="60"/>
      <c r="O36" s="48"/>
      <c r="P36" s="237" t="s">
        <v>177</v>
      </c>
      <c r="Q36" s="238"/>
      <c r="R36" s="238"/>
      <c r="S36" s="238"/>
      <c r="T36" s="239"/>
      <c r="U36" s="211"/>
      <c r="V36" s="49"/>
      <c r="W36" s="85"/>
      <c r="X36" s="224"/>
      <c r="Y36" s="225"/>
      <c r="Z36" s="225"/>
      <c r="AA36" s="226"/>
      <c r="AB36" s="174"/>
      <c r="AC36" s="90"/>
      <c r="AD36" s="98"/>
      <c r="AE36" s="118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20"/>
      <c r="AQ36" s="99"/>
    </row>
    <row r="37" spans="1:43" ht="30.75" customHeight="1" hidden="1" outlineLevel="2">
      <c r="A37" s="133"/>
      <c r="B37" s="133"/>
      <c r="C37" s="72"/>
      <c r="D37" s="15"/>
      <c r="E37" s="10"/>
      <c r="F37" s="24"/>
      <c r="G37" s="62"/>
      <c r="H37" s="237" t="s">
        <v>223</v>
      </c>
      <c r="I37" s="238"/>
      <c r="J37" s="238"/>
      <c r="K37" s="238"/>
      <c r="L37" s="239"/>
      <c r="M37" s="53"/>
      <c r="N37" s="60"/>
      <c r="O37" s="48"/>
      <c r="P37" s="237" t="s">
        <v>178</v>
      </c>
      <c r="Q37" s="238"/>
      <c r="R37" s="238"/>
      <c r="S37" s="238"/>
      <c r="T37" s="239"/>
      <c r="U37" s="211"/>
      <c r="V37" s="49"/>
      <c r="W37" s="85"/>
      <c r="X37" s="224"/>
      <c r="Y37" s="225"/>
      <c r="Z37" s="225"/>
      <c r="AA37" s="226"/>
      <c r="AB37" s="174"/>
      <c r="AC37" s="90"/>
      <c r="AD37" s="98"/>
      <c r="AE37" s="118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20"/>
      <c r="AQ37" s="99"/>
    </row>
    <row r="38" spans="1:43" ht="53.25" customHeight="1" hidden="1" outlineLevel="2">
      <c r="A38" s="133"/>
      <c r="B38" s="133"/>
      <c r="C38" s="72"/>
      <c r="D38" s="15"/>
      <c r="E38" s="10"/>
      <c r="F38" s="24"/>
      <c r="G38" s="62"/>
      <c r="H38" s="237" t="s">
        <v>175</v>
      </c>
      <c r="I38" s="238"/>
      <c r="J38" s="238"/>
      <c r="K38" s="238"/>
      <c r="L38" s="239"/>
      <c r="M38" s="53"/>
      <c r="N38" s="60"/>
      <c r="O38" s="48"/>
      <c r="P38" s="237" t="s">
        <v>175</v>
      </c>
      <c r="Q38" s="238"/>
      <c r="R38" s="238"/>
      <c r="S38" s="238"/>
      <c r="T38" s="239"/>
      <c r="U38" s="211"/>
      <c r="V38" s="49"/>
      <c r="W38" s="85"/>
      <c r="X38" s="240"/>
      <c r="Y38" s="241"/>
      <c r="Z38" s="241"/>
      <c r="AA38" s="242"/>
      <c r="AB38" s="174"/>
      <c r="AC38" s="90"/>
      <c r="AD38" s="98"/>
      <c r="AE38" s="118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20"/>
      <c r="AQ38" s="99"/>
    </row>
    <row r="39" spans="1:43" ht="51" customHeight="1" hidden="1" outlineLevel="2">
      <c r="A39" s="133"/>
      <c r="B39" s="133"/>
      <c r="C39" s="72"/>
      <c r="D39" s="15"/>
      <c r="E39" s="10"/>
      <c r="F39" s="24"/>
      <c r="G39" s="62"/>
      <c r="H39" s="237" t="s">
        <v>176</v>
      </c>
      <c r="I39" s="238"/>
      <c r="J39" s="238"/>
      <c r="K39" s="238"/>
      <c r="L39" s="239"/>
      <c r="M39" s="53"/>
      <c r="N39" s="60"/>
      <c r="O39" s="48"/>
      <c r="P39" s="237" t="s">
        <v>176</v>
      </c>
      <c r="Q39" s="238"/>
      <c r="R39" s="238"/>
      <c r="S39" s="238"/>
      <c r="T39" s="239"/>
      <c r="U39" s="211"/>
      <c r="V39" s="49"/>
      <c r="W39" s="85"/>
      <c r="X39" s="240"/>
      <c r="Y39" s="241"/>
      <c r="Z39" s="241"/>
      <c r="AA39" s="242"/>
      <c r="AB39" s="174"/>
      <c r="AC39" s="90"/>
      <c r="AD39" s="98"/>
      <c r="AE39" s="118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20"/>
      <c r="AQ39" s="99"/>
    </row>
    <row r="40" spans="1:43" ht="11.25" customHeight="1" hidden="1" outlineLevel="2" thickBot="1">
      <c r="A40" s="134"/>
      <c r="B40" s="134"/>
      <c r="C40" s="73"/>
      <c r="D40" s="16"/>
      <c r="E40" s="11"/>
      <c r="F40" s="25"/>
      <c r="G40" s="63"/>
      <c r="H40" s="227"/>
      <c r="I40" s="221"/>
      <c r="J40" s="221"/>
      <c r="K40" s="221"/>
      <c r="L40" s="222"/>
      <c r="M40" s="53"/>
      <c r="N40" s="60"/>
      <c r="O40" s="48"/>
      <c r="P40" s="227"/>
      <c r="Q40" s="221"/>
      <c r="R40" s="221"/>
      <c r="S40" s="221"/>
      <c r="T40" s="222"/>
      <c r="U40" s="211"/>
      <c r="V40" s="49"/>
      <c r="W40" s="85"/>
      <c r="X40" s="243"/>
      <c r="Y40" s="244"/>
      <c r="Z40" s="244"/>
      <c r="AA40" s="245"/>
      <c r="AB40" s="174"/>
      <c r="AC40" s="90"/>
      <c r="AD40" s="98"/>
      <c r="AE40" s="118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20"/>
      <c r="AQ40" s="99"/>
    </row>
    <row r="41" spans="1:43" ht="34.5" customHeight="1" outlineLevel="1" collapsed="1" thickBot="1" thickTop="1">
      <c r="A41" s="131" t="s">
        <v>208</v>
      </c>
      <c r="B41" s="131" t="s">
        <v>117</v>
      </c>
      <c r="C41" s="71">
        <f>D41+E41</f>
        <v>4</v>
      </c>
      <c r="D41" s="14">
        <v>3</v>
      </c>
      <c r="E41" s="13">
        <v>1</v>
      </c>
      <c r="F41" s="23">
        <v>0</v>
      </c>
      <c r="G41" s="61"/>
      <c r="H41" s="145"/>
      <c r="I41" s="80">
        <v>0.015</v>
      </c>
      <c r="J41" s="80">
        <v>0.3</v>
      </c>
      <c r="K41" s="80"/>
      <c r="L41" s="146">
        <v>0.6</v>
      </c>
      <c r="M41" s="130">
        <f>SUM(H41:L41)</f>
        <v>0.915</v>
      </c>
      <c r="N41" s="60"/>
      <c r="O41" s="48"/>
      <c r="P41" s="145">
        <f aca="true" t="shared" si="6" ref="P41:T42">IF(H41=0,"",H41)</f>
      </c>
      <c r="Q41" s="80">
        <f t="shared" si="6"/>
        <v>0.015</v>
      </c>
      <c r="R41" s="80">
        <f t="shared" si="6"/>
        <v>0.3</v>
      </c>
      <c r="S41" s="80">
        <f t="shared" si="6"/>
      </c>
      <c r="T41" s="146">
        <f t="shared" si="6"/>
        <v>0.6</v>
      </c>
      <c r="U41" s="209">
        <f>SUM(P41:T41)</f>
        <v>0.915</v>
      </c>
      <c r="V41" s="49"/>
      <c r="W41" s="85"/>
      <c r="X41" s="166">
        <f>0.15+0.2</f>
        <v>0.35</v>
      </c>
      <c r="Y41" s="167">
        <f>0.15+0.015</f>
        <v>0.16499999999999998</v>
      </c>
      <c r="Z41" s="167"/>
      <c r="AA41" s="168"/>
      <c r="AB41" s="169">
        <f>SUM(X41:Z41)</f>
        <v>0.5149999999999999</v>
      </c>
      <c r="AC41" s="90"/>
      <c r="AD41" s="98"/>
      <c r="AE41" s="118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20">
        <f>SUM(AE41:AO41)</f>
        <v>0</v>
      </c>
      <c r="AQ41" s="99"/>
    </row>
    <row r="42" spans="1:43" ht="16.5" hidden="1" outlineLevel="2" thickBot="1">
      <c r="A42" s="132"/>
      <c r="B42" s="132"/>
      <c r="C42" s="72"/>
      <c r="D42" s="15"/>
      <c r="E42" s="10"/>
      <c r="F42" s="24"/>
      <c r="G42" s="62"/>
      <c r="H42" s="52"/>
      <c r="I42" s="1" t="s">
        <v>9</v>
      </c>
      <c r="J42" s="1" t="s">
        <v>10</v>
      </c>
      <c r="K42" s="1"/>
      <c r="L42" s="2" t="s">
        <v>11</v>
      </c>
      <c r="M42" s="5"/>
      <c r="N42" s="60"/>
      <c r="O42" s="48"/>
      <c r="P42" s="52">
        <f t="shared" si="6"/>
      </c>
      <c r="Q42" s="1" t="str">
        <f t="shared" si="6"/>
        <v>note 1</v>
      </c>
      <c r="R42" s="1" t="str">
        <f t="shared" si="6"/>
        <v>note 2</v>
      </c>
      <c r="S42" s="1">
        <f t="shared" si="6"/>
      </c>
      <c r="T42" s="2" t="str">
        <f t="shared" si="6"/>
        <v>note 3</v>
      </c>
      <c r="U42" s="210"/>
      <c r="V42" s="49"/>
      <c r="W42" s="85"/>
      <c r="X42" s="170"/>
      <c r="Y42" s="171"/>
      <c r="Z42" s="171"/>
      <c r="AA42" s="172"/>
      <c r="AB42" s="173"/>
      <c r="AC42" s="90"/>
      <c r="AD42" s="98"/>
      <c r="AE42" s="118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20"/>
      <c r="AQ42" s="99"/>
    </row>
    <row r="43" spans="1:43" ht="15.75" customHeight="1" hidden="1" outlineLevel="2">
      <c r="A43" s="138"/>
      <c r="B43" s="138"/>
      <c r="C43" s="72"/>
      <c r="D43" s="15"/>
      <c r="E43" s="10"/>
      <c r="F43" s="24"/>
      <c r="G43" s="62"/>
      <c r="H43" s="246" t="s">
        <v>22</v>
      </c>
      <c r="I43" s="247"/>
      <c r="J43" s="247"/>
      <c r="K43" s="247"/>
      <c r="L43" s="248"/>
      <c r="M43" s="53"/>
      <c r="N43" s="60"/>
      <c r="O43" s="48"/>
      <c r="P43" s="246" t="str">
        <f>H43</f>
        <v>(1). Monitoring</v>
      </c>
      <c r="Q43" s="247"/>
      <c r="R43" s="247"/>
      <c r="S43" s="247"/>
      <c r="T43" s="248"/>
      <c r="U43" s="211"/>
      <c r="V43" s="49"/>
      <c r="W43" s="85"/>
      <c r="X43" s="231"/>
      <c r="Y43" s="232"/>
      <c r="Z43" s="232"/>
      <c r="AA43" s="233"/>
      <c r="AB43" s="174"/>
      <c r="AC43" s="90"/>
      <c r="AD43" s="98"/>
      <c r="AE43" s="118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20"/>
      <c r="AQ43" s="99"/>
    </row>
    <row r="44" spans="1:43" ht="15.75" customHeight="1" hidden="1" outlineLevel="2">
      <c r="A44" s="133"/>
      <c r="B44" s="133"/>
      <c r="C44" s="72"/>
      <c r="D44" s="15"/>
      <c r="E44" s="10"/>
      <c r="F44" s="24"/>
      <c r="G44" s="62"/>
      <c r="H44" s="237" t="s">
        <v>23</v>
      </c>
      <c r="I44" s="238"/>
      <c r="J44" s="238"/>
      <c r="K44" s="238"/>
      <c r="L44" s="239"/>
      <c r="M44" s="53"/>
      <c r="N44" s="60"/>
      <c r="O44" s="48"/>
      <c r="P44" s="237" t="str">
        <f>H44</f>
        <v>(2). LONI grid computing</v>
      </c>
      <c r="Q44" s="238"/>
      <c r="R44" s="238"/>
      <c r="S44" s="238"/>
      <c r="T44" s="239"/>
      <c r="U44" s="211"/>
      <c r="V44" s="49"/>
      <c r="W44" s="85"/>
      <c r="X44" s="240"/>
      <c r="Y44" s="241"/>
      <c r="Z44" s="241"/>
      <c r="AA44" s="242"/>
      <c r="AB44" s="174"/>
      <c r="AC44" s="90"/>
      <c r="AD44" s="98"/>
      <c r="AE44" s="118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20"/>
      <c r="AQ44" s="99"/>
    </row>
    <row r="45" spans="1:43" ht="16.5" customHeight="1" hidden="1" outlineLevel="2" thickBot="1">
      <c r="A45" s="134"/>
      <c r="B45" s="134"/>
      <c r="C45" s="73"/>
      <c r="D45" s="16"/>
      <c r="E45" s="11"/>
      <c r="F45" s="25"/>
      <c r="G45" s="63"/>
      <c r="H45" s="227" t="s">
        <v>179</v>
      </c>
      <c r="I45" s="221"/>
      <c r="J45" s="221"/>
      <c r="K45" s="221"/>
      <c r="L45" s="222"/>
      <c r="M45" s="53"/>
      <c r="N45" s="60"/>
      <c r="O45" s="48"/>
      <c r="P45" s="227" t="str">
        <f>H45</f>
        <v>(3). CORSIKA for IceCube / IceTop; GEANT for IceCube</v>
      </c>
      <c r="Q45" s="221"/>
      <c r="R45" s="221"/>
      <c r="S45" s="221"/>
      <c r="T45" s="222"/>
      <c r="U45" s="211"/>
      <c r="V45" s="49"/>
      <c r="W45" s="85"/>
      <c r="X45" s="243"/>
      <c r="Y45" s="244"/>
      <c r="Z45" s="244"/>
      <c r="AA45" s="245"/>
      <c r="AB45" s="174"/>
      <c r="AC45" s="90"/>
      <c r="AD45" s="98"/>
      <c r="AE45" s="118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20"/>
      <c r="AQ45" s="99"/>
    </row>
    <row r="46" spans="1:43" ht="34.5" customHeight="1" outlineLevel="1" collapsed="1" thickBot="1" thickTop="1">
      <c r="A46" s="131" t="s">
        <v>208</v>
      </c>
      <c r="B46" s="131" t="s">
        <v>118</v>
      </c>
      <c r="C46" s="71">
        <f>D46+E46</f>
        <v>3</v>
      </c>
      <c r="D46" s="14">
        <v>1</v>
      </c>
      <c r="E46" s="13">
        <v>2</v>
      </c>
      <c r="F46" s="23">
        <v>1</v>
      </c>
      <c r="G46" s="61"/>
      <c r="H46" s="145">
        <v>0.2</v>
      </c>
      <c r="I46" s="80">
        <v>0.78</v>
      </c>
      <c r="J46" s="80"/>
      <c r="K46" s="80">
        <v>0.25</v>
      </c>
      <c r="L46" s="146">
        <v>0.5</v>
      </c>
      <c r="M46" s="130">
        <f>SUM(H46:L46)</f>
        <v>1.73</v>
      </c>
      <c r="N46" s="60"/>
      <c r="O46" s="48"/>
      <c r="P46" s="145">
        <f>H46</f>
        <v>0.2</v>
      </c>
      <c r="Q46" s="80">
        <f>I46</f>
        <v>0.78</v>
      </c>
      <c r="R46" s="80"/>
      <c r="S46" s="80">
        <f>K46</f>
        <v>0.25</v>
      </c>
      <c r="T46" s="146">
        <f>L46-0.5</f>
        <v>0</v>
      </c>
      <c r="U46" s="209">
        <f>SUM(P46:T46)</f>
        <v>1.23</v>
      </c>
      <c r="V46" s="49"/>
      <c r="W46" s="85"/>
      <c r="X46" s="166">
        <v>0.1</v>
      </c>
      <c r="Y46" s="167">
        <f>0.015+0.65+0.1+0.25</f>
        <v>1.0150000000000001</v>
      </c>
      <c r="Z46" s="167">
        <f>0.015+0.1</f>
        <v>0.115</v>
      </c>
      <c r="AA46" s="168"/>
      <c r="AB46" s="169">
        <f>SUM(X46:Z46)</f>
        <v>1.2300000000000002</v>
      </c>
      <c r="AC46" s="90"/>
      <c r="AD46" s="98"/>
      <c r="AE46" s="118">
        <v>0.015</v>
      </c>
      <c r="AF46" s="119">
        <v>0.1</v>
      </c>
      <c r="AG46" s="119"/>
      <c r="AH46" s="119"/>
      <c r="AI46" s="119"/>
      <c r="AJ46" s="119"/>
      <c r="AK46" s="119"/>
      <c r="AL46" s="119"/>
      <c r="AM46" s="119"/>
      <c r="AN46" s="119"/>
      <c r="AO46" s="119"/>
      <c r="AP46" s="120">
        <f>SUM(AE46:AO46)</f>
        <v>0.115</v>
      </c>
      <c r="AQ46" s="99"/>
    </row>
    <row r="47" spans="1:43" ht="16.5" hidden="1" outlineLevel="2" thickBot="1">
      <c r="A47" s="132"/>
      <c r="B47" s="132"/>
      <c r="C47" s="72"/>
      <c r="D47" s="15"/>
      <c r="E47" s="10"/>
      <c r="F47" s="24"/>
      <c r="G47" s="62"/>
      <c r="H47" s="52" t="s">
        <v>9</v>
      </c>
      <c r="I47" s="1" t="s">
        <v>10</v>
      </c>
      <c r="J47" s="1"/>
      <c r="K47" s="1" t="s">
        <v>11</v>
      </c>
      <c r="L47" s="2" t="s">
        <v>12</v>
      </c>
      <c r="M47" s="5"/>
      <c r="N47" s="60"/>
      <c r="O47" s="48"/>
      <c r="P47" s="52" t="s">
        <v>9</v>
      </c>
      <c r="Q47" s="1" t="s">
        <v>10</v>
      </c>
      <c r="R47" s="1"/>
      <c r="S47" s="1" t="s">
        <v>11</v>
      </c>
      <c r="T47" s="2"/>
      <c r="U47" s="210"/>
      <c r="V47" s="49"/>
      <c r="W47" s="85"/>
      <c r="X47" s="170"/>
      <c r="Y47" s="171"/>
      <c r="Z47" s="171" t="s">
        <v>75</v>
      </c>
      <c r="AA47" s="172"/>
      <c r="AB47" s="173"/>
      <c r="AC47" s="90"/>
      <c r="AD47" s="98"/>
      <c r="AE47" s="118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20"/>
      <c r="AQ47" s="99"/>
    </row>
    <row r="48" spans="1:43" ht="37.5" customHeight="1" hidden="1" outlineLevel="2">
      <c r="A48" s="132"/>
      <c r="B48" s="132"/>
      <c r="C48" s="72"/>
      <c r="D48" s="15"/>
      <c r="E48" s="10"/>
      <c r="F48" s="24"/>
      <c r="G48" s="62"/>
      <c r="H48" s="246" t="s">
        <v>180</v>
      </c>
      <c r="I48" s="247"/>
      <c r="J48" s="247"/>
      <c r="K48" s="247"/>
      <c r="L48" s="248"/>
      <c r="M48" s="53"/>
      <c r="N48" s="60"/>
      <c r="O48" s="48"/>
      <c r="P48" s="246" t="str">
        <f>H48</f>
        <v>(1). Member speakers comm. (Woschnagg, 0.1); lead group, supervise students, budgeting, monthly accounting, run spokesperson elections (Price, 0.1)</v>
      </c>
      <c r="Q48" s="247"/>
      <c r="R48" s="247"/>
      <c r="S48" s="247"/>
      <c r="T48" s="248"/>
      <c r="U48" s="211"/>
      <c r="V48" s="49"/>
      <c r="W48" s="85"/>
      <c r="X48" s="231" t="s">
        <v>79</v>
      </c>
      <c r="Y48" s="232"/>
      <c r="Z48" s="232"/>
      <c r="AA48" s="233"/>
      <c r="AB48" s="174"/>
      <c r="AC48" s="90"/>
      <c r="AD48" s="98"/>
      <c r="AE48" s="118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20"/>
      <c r="AQ48" s="99"/>
    </row>
    <row r="49" spans="1:43" ht="31.5" customHeight="1" hidden="1" outlineLevel="2">
      <c r="A49" s="133"/>
      <c r="B49" s="133"/>
      <c r="C49" s="72"/>
      <c r="D49" s="15"/>
      <c r="E49" s="10"/>
      <c r="F49" s="24"/>
      <c r="G49" s="62"/>
      <c r="H49" s="237" t="s">
        <v>181</v>
      </c>
      <c r="I49" s="238"/>
      <c r="J49" s="238"/>
      <c r="K49" s="238"/>
      <c r="L49" s="239"/>
      <c r="M49" s="53"/>
      <c r="N49" s="60"/>
      <c r="O49" s="48"/>
      <c r="P49" s="237" t="str">
        <f>H49</f>
        <v>(2). Coordinate monitoring (Filimonov, 0.5); calibration lead (Woschnagg, 0.15); calibration (student, 0.1); 0.03M</v>
      </c>
      <c r="Q49" s="238"/>
      <c r="R49" s="238"/>
      <c r="S49" s="238"/>
      <c r="T49" s="239"/>
      <c r="U49" s="211"/>
      <c r="V49" s="49"/>
      <c r="W49" s="85"/>
      <c r="X49" s="240"/>
      <c r="Y49" s="241"/>
      <c r="Z49" s="241"/>
      <c r="AA49" s="242"/>
      <c r="AB49" s="174"/>
      <c r="AC49" s="90"/>
      <c r="AD49" s="98"/>
      <c r="AE49" s="118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20"/>
      <c r="AQ49" s="99"/>
    </row>
    <row r="50" spans="1:43" ht="27" customHeight="1" hidden="1" outlineLevel="2">
      <c r="A50" s="133"/>
      <c r="B50" s="133"/>
      <c r="C50" s="72"/>
      <c r="D50" s="15"/>
      <c r="E50" s="10"/>
      <c r="F50" s="24"/>
      <c r="G50" s="62"/>
      <c r="H50" s="237" t="s">
        <v>182</v>
      </c>
      <c r="I50" s="238"/>
      <c r="J50" s="238"/>
      <c r="K50" s="238"/>
      <c r="L50" s="239"/>
      <c r="M50" s="53"/>
      <c r="N50" s="60"/>
      <c r="O50" s="48"/>
      <c r="P50" s="237" t="str">
        <f>H50</f>
        <v>(3). Chair diffuse/atmos nu WG (Woschnagg, 0.25); </v>
      </c>
      <c r="Q50" s="238"/>
      <c r="R50" s="238"/>
      <c r="S50" s="238"/>
      <c r="T50" s="239"/>
      <c r="U50" s="211"/>
      <c r="V50" s="49"/>
      <c r="W50" s="85"/>
      <c r="X50" s="240"/>
      <c r="Y50" s="241"/>
      <c r="Z50" s="241"/>
      <c r="AA50" s="242"/>
      <c r="AB50" s="174"/>
      <c r="AC50" s="90"/>
      <c r="AD50" s="98"/>
      <c r="AE50" s="118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20"/>
      <c r="AQ50" s="99"/>
    </row>
    <row r="51" spans="1:43" ht="35.25" customHeight="1" hidden="1" outlineLevel="2" thickBot="1">
      <c r="A51" s="134"/>
      <c r="B51" s="134"/>
      <c r="C51" s="73"/>
      <c r="D51" s="16"/>
      <c r="E51" s="11"/>
      <c r="F51" s="25"/>
      <c r="G51" s="63"/>
      <c r="H51" s="227" t="s">
        <v>224</v>
      </c>
      <c r="I51" s="221"/>
      <c r="J51" s="221"/>
      <c r="K51" s="221"/>
      <c r="L51" s="222"/>
      <c r="M51" s="53"/>
      <c r="N51" s="60"/>
      <c r="O51" s="48"/>
      <c r="P51" s="227"/>
      <c r="Q51" s="221"/>
      <c r="R51" s="221"/>
      <c r="S51" s="221"/>
      <c r="T51" s="222"/>
      <c r="U51" s="211"/>
      <c r="V51" s="49"/>
      <c r="W51" s="85"/>
      <c r="X51" s="243"/>
      <c r="Y51" s="244"/>
      <c r="Z51" s="244"/>
      <c r="AA51" s="245"/>
      <c r="AB51" s="174"/>
      <c r="AC51" s="90"/>
      <c r="AD51" s="98"/>
      <c r="AE51" s="118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20"/>
      <c r="AQ51" s="99"/>
    </row>
    <row r="52" spans="1:43" ht="34.5" customHeight="1" outlineLevel="1" collapsed="1" thickBot="1" thickTop="1">
      <c r="A52" s="131" t="s">
        <v>208</v>
      </c>
      <c r="B52" s="131" t="s">
        <v>119</v>
      </c>
      <c r="C52" s="71">
        <f>D52+E52</f>
        <v>2</v>
      </c>
      <c r="D52" s="14">
        <v>1</v>
      </c>
      <c r="E52" s="13">
        <v>1</v>
      </c>
      <c r="F52" s="23">
        <v>1</v>
      </c>
      <c r="G52" s="61"/>
      <c r="H52" s="145"/>
      <c r="I52" s="80">
        <v>0.02</v>
      </c>
      <c r="J52" s="80"/>
      <c r="K52" s="80"/>
      <c r="L52" s="146"/>
      <c r="M52" s="130">
        <v>0.02</v>
      </c>
      <c r="N52" s="60"/>
      <c r="O52" s="48"/>
      <c r="P52" s="145">
        <f aca="true" t="shared" si="7" ref="P52:T53">IF(H52=0,"",H52)</f>
      </c>
      <c r="Q52" s="80">
        <f t="shared" si="7"/>
        <v>0.02</v>
      </c>
      <c r="R52" s="80">
        <f t="shared" si="7"/>
      </c>
      <c r="S52" s="80">
        <f t="shared" si="7"/>
      </c>
      <c r="T52" s="146">
        <f t="shared" si="7"/>
      </c>
      <c r="U52" s="209">
        <v>0.02</v>
      </c>
      <c r="V52" s="49"/>
      <c r="W52" s="85"/>
      <c r="X52" s="166"/>
      <c r="Y52" s="167">
        <v>0.01</v>
      </c>
      <c r="Z52" s="167">
        <v>0.01</v>
      </c>
      <c r="AA52" s="168"/>
      <c r="AB52" s="169">
        <f>SUM(X52:Z52)</f>
        <v>0.02</v>
      </c>
      <c r="AC52" s="90"/>
      <c r="AD52" s="98"/>
      <c r="AE52" s="118">
        <v>0.01</v>
      </c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20">
        <f>SUM(AE52:AO52)</f>
        <v>0.01</v>
      </c>
      <c r="AQ52" s="99"/>
    </row>
    <row r="53" spans="1:43" ht="20.25" customHeight="1" hidden="1" outlineLevel="2" thickBot="1">
      <c r="A53" s="132"/>
      <c r="B53" s="132"/>
      <c r="C53" s="72"/>
      <c r="D53" s="15"/>
      <c r="E53" s="10"/>
      <c r="F53" s="24"/>
      <c r="G53" s="62"/>
      <c r="H53" s="52"/>
      <c r="I53" s="1" t="s">
        <v>9</v>
      </c>
      <c r="J53" s="1"/>
      <c r="K53" s="1"/>
      <c r="L53" s="2"/>
      <c r="M53" s="5"/>
      <c r="N53" s="60"/>
      <c r="O53" s="48"/>
      <c r="P53" s="52">
        <f t="shared" si="7"/>
      </c>
      <c r="Q53" s="1" t="str">
        <f t="shared" si="7"/>
        <v>note 1</v>
      </c>
      <c r="R53" s="1">
        <f t="shared" si="7"/>
      </c>
      <c r="S53" s="1">
        <f t="shared" si="7"/>
      </c>
      <c r="T53" s="2">
        <f t="shared" si="7"/>
      </c>
      <c r="U53" s="210"/>
      <c r="V53" s="49"/>
      <c r="W53" s="85"/>
      <c r="X53" s="170"/>
      <c r="Y53" s="171"/>
      <c r="Z53" s="171" t="s">
        <v>75</v>
      </c>
      <c r="AA53" s="172"/>
      <c r="AB53" s="173"/>
      <c r="AC53" s="90"/>
      <c r="AD53" s="98"/>
      <c r="AE53" s="118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20"/>
      <c r="AQ53" s="99"/>
    </row>
    <row r="54" spans="1:43" ht="22.5" customHeight="1" hidden="1" outlineLevel="2" thickBot="1">
      <c r="A54" s="137"/>
      <c r="B54" s="137"/>
      <c r="C54" s="73"/>
      <c r="D54" s="16"/>
      <c r="E54" s="11"/>
      <c r="F54" s="25"/>
      <c r="G54" s="63"/>
      <c r="H54" s="287" t="s">
        <v>22</v>
      </c>
      <c r="I54" s="288"/>
      <c r="J54" s="288"/>
      <c r="K54" s="288"/>
      <c r="L54" s="289"/>
      <c r="M54" s="53"/>
      <c r="N54" s="60"/>
      <c r="O54" s="48"/>
      <c r="P54" s="287" t="s">
        <v>22</v>
      </c>
      <c r="Q54" s="288"/>
      <c r="R54" s="288"/>
      <c r="S54" s="288"/>
      <c r="T54" s="289"/>
      <c r="U54" s="211"/>
      <c r="V54" s="49"/>
      <c r="W54" s="85"/>
      <c r="X54" s="231" t="s">
        <v>76</v>
      </c>
      <c r="Y54" s="232"/>
      <c r="Z54" s="232"/>
      <c r="AA54" s="233"/>
      <c r="AB54" s="174"/>
      <c r="AC54" s="90"/>
      <c r="AD54" s="98"/>
      <c r="AE54" s="118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20"/>
      <c r="AQ54" s="99"/>
    </row>
    <row r="55" spans="1:43" ht="34.5" customHeight="1" outlineLevel="1" collapsed="1" thickBot="1" thickTop="1">
      <c r="A55" s="131" t="s">
        <v>208</v>
      </c>
      <c r="B55" s="131" t="s">
        <v>120</v>
      </c>
      <c r="C55" s="71">
        <f>D55+E55</f>
        <v>7</v>
      </c>
      <c r="D55" s="14">
        <v>4</v>
      </c>
      <c r="E55" s="13">
        <v>3</v>
      </c>
      <c r="F55" s="23">
        <v>2</v>
      </c>
      <c r="G55" s="61"/>
      <c r="H55" s="145">
        <v>0.3</v>
      </c>
      <c r="I55" s="80">
        <v>1.3</v>
      </c>
      <c r="J55" s="80">
        <v>0.45</v>
      </c>
      <c r="K55" s="80">
        <v>0.25</v>
      </c>
      <c r="L55" s="146">
        <v>0.3</v>
      </c>
      <c r="M55" s="130">
        <f>SUM(H55:L55)</f>
        <v>2.6</v>
      </c>
      <c r="N55" s="60"/>
      <c r="O55" s="48"/>
      <c r="P55" s="145">
        <f>H55</f>
        <v>0.3</v>
      </c>
      <c r="Q55" s="80">
        <f>I55-1</f>
        <v>0.30000000000000004</v>
      </c>
      <c r="R55" s="80">
        <f>J55</f>
        <v>0.45</v>
      </c>
      <c r="S55" s="80">
        <f>K55</f>
        <v>0.25</v>
      </c>
      <c r="T55" s="146">
        <f>L55</f>
        <v>0.3</v>
      </c>
      <c r="U55" s="209">
        <f>SUM(P55:T55)</f>
        <v>1.6</v>
      </c>
      <c r="V55" s="49"/>
      <c r="W55" s="85"/>
      <c r="X55" s="166">
        <f>0.5+0.1</f>
        <v>0.6</v>
      </c>
      <c r="Y55" s="167">
        <f>0.1+0.03+0.05+0.15+0.3</f>
        <v>0.6299999999999999</v>
      </c>
      <c r="Z55" s="167">
        <f>0.1+0.03</f>
        <v>0.13</v>
      </c>
      <c r="AA55" s="168"/>
      <c r="AB55" s="169">
        <f>SUM(X55:Z55)</f>
        <v>1.3599999999999999</v>
      </c>
      <c r="AC55" s="90"/>
      <c r="AD55" s="98"/>
      <c r="AE55" s="118">
        <v>0.03</v>
      </c>
      <c r="AF55" s="119"/>
      <c r="AG55" s="119"/>
      <c r="AH55" s="119"/>
      <c r="AI55" s="119">
        <v>0.1</v>
      </c>
      <c r="AJ55" s="119"/>
      <c r="AK55" s="119"/>
      <c r="AL55" s="119"/>
      <c r="AM55" s="119"/>
      <c r="AN55" s="119"/>
      <c r="AO55" s="119"/>
      <c r="AP55" s="120">
        <f>SUM(AE55:AO55)</f>
        <v>0.13</v>
      </c>
      <c r="AQ55" s="99"/>
    </row>
    <row r="56" spans="1:43" ht="26.25" customHeight="1" hidden="1" outlineLevel="2" thickBot="1">
      <c r="A56" s="132"/>
      <c r="B56" s="132"/>
      <c r="C56" s="72"/>
      <c r="D56" s="15"/>
      <c r="E56" s="10"/>
      <c r="F56" s="24"/>
      <c r="G56" s="62"/>
      <c r="H56" s="52" t="s">
        <v>9</v>
      </c>
      <c r="I56" s="1" t="s">
        <v>10</v>
      </c>
      <c r="J56" s="1" t="s">
        <v>11</v>
      </c>
      <c r="K56" s="1" t="s">
        <v>12</v>
      </c>
      <c r="L56" s="2" t="s">
        <v>13</v>
      </c>
      <c r="M56" s="5"/>
      <c r="N56" s="60"/>
      <c r="O56" s="48"/>
      <c r="P56" s="52" t="s">
        <v>9</v>
      </c>
      <c r="Q56" s="1" t="s">
        <v>10</v>
      </c>
      <c r="R56" s="1" t="s">
        <v>11</v>
      </c>
      <c r="S56" s="1" t="s">
        <v>12</v>
      </c>
      <c r="T56" s="2" t="s">
        <v>13</v>
      </c>
      <c r="U56" s="210"/>
      <c r="V56" s="49"/>
      <c r="W56" s="85"/>
      <c r="X56" s="170"/>
      <c r="Y56" s="171"/>
      <c r="Z56" s="171" t="s">
        <v>75</v>
      </c>
      <c r="AA56" s="172"/>
      <c r="AB56" s="173"/>
      <c r="AC56" s="90"/>
      <c r="AD56" s="98"/>
      <c r="AE56" s="118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20"/>
      <c r="AQ56" s="99"/>
    </row>
    <row r="57" spans="1:43" ht="24" customHeight="1" hidden="1" outlineLevel="2">
      <c r="A57" s="132"/>
      <c r="B57" s="132"/>
      <c r="C57" s="72"/>
      <c r="D57" s="15"/>
      <c r="E57" s="10"/>
      <c r="F57" s="24"/>
      <c r="G57" s="62"/>
      <c r="H57" s="246" t="s">
        <v>183</v>
      </c>
      <c r="I57" s="247"/>
      <c r="J57" s="247"/>
      <c r="K57" s="247"/>
      <c r="L57" s="248"/>
      <c r="M57" s="53"/>
      <c r="N57" s="60"/>
      <c r="O57" s="48"/>
      <c r="P57" s="246" t="str">
        <f>H57</f>
        <v>(1). 0.3 for Spokesperson (Gaisser)</v>
      </c>
      <c r="Q57" s="247"/>
      <c r="R57" s="247"/>
      <c r="S57" s="247"/>
      <c r="T57" s="248"/>
      <c r="U57" s="211"/>
      <c r="V57" s="49"/>
      <c r="W57" s="85"/>
      <c r="X57" s="231" t="s">
        <v>80</v>
      </c>
      <c r="Y57" s="232"/>
      <c r="Z57" s="232"/>
      <c r="AA57" s="233"/>
      <c r="AB57" s="174"/>
      <c r="AC57" s="90"/>
      <c r="AD57" s="98"/>
      <c r="AE57" s="118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20"/>
      <c r="AQ57" s="99"/>
    </row>
    <row r="58" spans="1:43" ht="24" customHeight="1" hidden="1" outlineLevel="2">
      <c r="A58" s="133"/>
      <c r="B58" s="133"/>
      <c r="C58" s="72"/>
      <c r="D58" s="15"/>
      <c r="E58" s="10"/>
      <c r="F58" s="24"/>
      <c r="G58" s="62"/>
      <c r="H58" s="237" t="s">
        <v>186</v>
      </c>
      <c r="I58" s="238"/>
      <c r="J58" s="238"/>
      <c r="K58" s="238"/>
      <c r="L58" s="239"/>
      <c r="M58" s="53"/>
      <c r="N58" s="60"/>
      <c r="O58" s="48"/>
      <c r="P58" s="237" t="s">
        <v>187</v>
      </c>
      <c r="Q58" s="238"/>
      <c r="R58" s="238"/>
      <c r="S58" s="238"/>
      <c r="T58" s="239"/>
      <c r="U58" s="211"/>
      <c r="V58" s="49"/>
      <c r="W58" s="85"/>
      <c r="X58" s="240"/>
      <c r="Y58" s="241"/>
      <c r="Z58" s="241"/>
      <c r="AA58" s="242"/>
      <c r="AB58" s="174"/>
      <c r="AC58" s="90"/>
      <c r="AD58" s="98"/>
      <c r="AE58" s="118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20"/>
      <c r="AQ58" s="99"/>
    </row>
    <row r="59" spans="1:43" ht="24" customHeight="1" hidden="1" outlineLevel="2">
      <c r="A59" s="133"/>
      <c r="B59" s="133"/>
      <c r="C59" s="72"/>
      <c r="D59" s="15"/>
      <c r="E59" s="10"/>
      <c r="F59" s="24"/>
      <c r="G59" s="62"/>
      <c r="H59" s="237" t="s">
        <v>184</v>
      </c>
      <c r="I59" s="238"/>
      <c r="J59" s="238"/>
      <c r="K59" s="238"/>
      <c r="L59" s="239"/>
      <c r="M59" s="53"/>
      <c r="N59" s="60"/>
      <c r="O59" s="48"/>
      <c r="P59" s="237" t="str">
        <f>H59</f>
        <v>(3). 0.45 IceTopsim. prod.</v>
      </c>
      <c r="Q59" s="238"/>
      <c r="R59" s="238"/>
      <c r="S59" s="238"/>
      <c r="T59" s="239"/>
      <c r="U59" s="211"/>
      <c r="V59" s="49"/>
      <c r="W59" s="85"/>
      <c r="X59" s="240"/>
      <c r="Y59" s="241"/>
      <c r="Z59" s="241"/>
      <c r="AA59" s="242"/>
      <c r="AB59" s="174"/>
      <c r="AC59" s="90"/>
      <c r="AD59" s="98"/>
      <c r="AE59" s="118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20"/>
      <c r="AQ59" s="99"/>
    </row>
    <row r="60" spans="1:43" ht="24" customHeight="1" hidden="1" outlineLevel="2">
      <c r="A60" s="133"/>
      <c r="B60" s="133"/>
      <c r="C60" s="72"/>
      <c r="D60" s="15"/>
      <c r="E60" s="10"/>
      <c r="F60" s="24"/>
      <c r="G60" s="62"/>
      <c r="H60" s="237" t="s">
        <v>8</v>
      </c>
      <c r="I60" s="238"/>
      <c r="J60" s="238"/>
      <c r="K60" s="238"/>
      <c r="L60" s="239"/>
      <c r="M60" s="53"/>
      <c r="N60" s="60"/>
      <c r="O60" s="48"/>
      <c r="P60" s="237" t="str">
        <f>H60</f>
        <v>(4). TFT member (Seckel, 0.1); atmospheric muon/minimum bias filter (Hussain, 0.15)</v>
      </c>
      <c r="Q60" s="238"/>
      <c r="R60" s="238"/>
      <c r="S60" s="238"/>
      <c r="T60" s="239"/>
      <c r="U60" s="211"/>
      <c r="V60" s="49"/>
      <c r="W60" s="85"/>
      <c r="X60" s="240"/>
      <c r="Y60" s="241"/>
      <c r="Z60" s="241"/>
      <c r="AA60" s="242"/>
      <c r="AB60" s="174"/>
      <c r="AC60" s="90"/>
      <c r="AD60" s="98"/>
      <c r="AE60" s="118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20"/>
      <c r="AQ60" s="99"/>
    </row>
    <row r="61" spans="1:43" ht="24" customHeight="1" hidden="1" outlineLevel="2">
      <c r="A61" s="133"/>
      <c r="B61" s="133"/>
      <c r="C61" s="72"/>
      <c r="D61" s="15"/>
      <c r="E61" s="10"/>
      <c r="F61" s="24"/>
      <c r="G61" s="62"/>
      <c r="H61" s="237" t="s">
        <v>185</v>
      </c>
      <c r="I61" s="238"/>
      <c r="J61" s="238"/>
      <c r="K61" s="238"/>
      <c r="L61" s="239"/>
      <c r="M61" s="53"/>
      <c r="N61" s="60"/>
      <c r="O61" s="48"/>
      <c r="P61" s="237" t="str">
        <f>H61</f>
        <v>(5). Reconstruction tools</v>
      </c>
      <c r="Q61" s="238"/>
      <c r="R61" s="238"/>
      <c r="S61" s="238"/>
      <c r="T61" s="239"/>
      <c r="U61" s="211"/>
      <c r="V61" s="49"/>
      <c r="W61" s="85"/>
      <c r="X61" s="240"/>
      <c r="Y61" s="241"/>
      <c r="Z61" s="241"/>
      <c r="AA61" s="242"/>
      <c r="AB61" s="174"/>
      <c r="AC61" s="90"/>
      <c r="AD61" s="98"/>
      <c r="AE61" s="118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20"/>
      <c r="AQ61" s="99"/>
    </row>
    <row r="62" spans="1:43" ht="10.5" customHeight="1" hidden="1" outlineLevel="2" thickBot="1">
      <c r="A62" s="134"/>
      <c r="B62" s="134"/>
      <c r="C62" s="73"/>
      <c r="D62" s="16"/>
      <c r="E62" s="11"/>
      <c r="F62" s="25"/>
      <c r="G62" s="63"/>
      <c r="H62" s="234"/>
      <c r="I62" s="235"/>
      <c r="J62" s="235"/>
      <c r="K62" s="235"/>
      <c r="L62" s="236"/>
      <c r="M62" s="53"/>
      <c r="N62" s="60"/>
      <c r="O62" s="48"/>
      <c r="P62" s="234"/>
      <c r="Q62" s="235"/>
      <c r="R62" s="235"/>
      <c r="S62" s="235"/>
      <c r="T62" s="236"/>
      <c r="U62" s="211"/>
      <c r="V62" s="49"/>
      <c r="W62" s="85"/>
      <c r="X62" s="223"/>
      <c r="Y62" s="249"/>
      <c r="Z62" s="249"/>
      <c r="AA62" s="250"/>
      <c r="AB62" s="174"/>
      <c r="AC62" s="90"/>
      <c r="AD62" s="98"/>
      <c r="AE62" s="118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20"/>
      <c r="AQ62" s="99"/>
    </row>
    <row r="63" spans="1:43" ht="34.5" customHeight="1" outlineLevel="1" collapsed="1" thickBot="1" thickTop="1">
      <c r="A63" s="131" t="s">
        <v>208</v>
      </c>
      <c r="B63" s="131" t="s">
        <v>121</v>
      </c>
      <c r="C63" s="71">
        <f>D63+E63</f>
        <v>1</v>
      </c>
      <c r="D63" s="14">
        <v>1</v>
      </c>
      <c r="E63" s="13">
        <v>0</v>
      </c>
      <c r="F63" s="23">
        <v>0</v>
      </c>
      <c r="G63" s="61"/>
      <c r="H63" s="145">
        <v>0.1</v>
      </c>
      <c r="I63" s="80">
        <v>0.02</v>
      </c>
      <c r="J63" s="80"/>
      <c r="K63" s="80"/>
      <c r="L63" s="146"/>
      <c r="M63" s="130">
        <f>SUM(H63:L63)</f>
        <v>0.12000000000000001</v>
      </c>
      <c r="N63" s="60"/>
      <c r="O63" s="48"/>
      <c r="P63" s="145">
        <f aca="true" t="shared" si="8" ref="P63:T64">IF(H63=0,"",H63)</f>
        <v>0.1</v>
      </c>
      <c r="Q63" s="80">
        <f t="shared" si="8"/>
        <v>0.02</v>
      </c>
      <c r="R63" s="80">
        <f t="shared" si="8"/>
      </c>
      <c r="S63" s="80">
        <f t="shared" si="8"/>
      </c>
      <c r="T63" s="146">
        <f t="shared" si="8"/>
      </c>
      <c r="U63" s="209">
        <f>SUM(P63:T63)</f>
        <v>0.12000000000000001</v>
      </c>
      <c r="V63" s="49"/>
      <c r="W63" s="85"/>
      <c r="X63" s="166">
        <v>0.12</v>
      </c>
      <c r="Y63" s="167"/>
      <c r="Z63" s="167"/>
      <c r="AA63" s="168"/>
      <c r="AB63" s="169">
        <f>SUM(X63:Z63)</f>
        <v>0.12</v>
      </c>
      <c r="AC63" s="90"/>
      <c r="AD63" s="98"/>
      <c r="AE63" s="118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20">
        <f>SUM(AE63:AO63)</f>
        <v>0</v>
      </c>
      <c r="AQ63" s="99"/>
    </row>
    <row r="64" spans="1:43" ht="16.5" hidden="1" outlineLevel="2" thickBot="1">
      <c r="A64" s="132"/>
      <c r="B64" s="132"/>
      <c r="C64" s="72"/>
      <c r="D64" s="15"/>
      <c r="E64" s="10"/>
      <c r="F64" s="24"/>
      <c r="G64" s="62"/>
      <c r="H64" s="52" t="s">
        <v>9</v>
      </c>
      <c r="I64" s="1" t="s">
        <v>10</v>
      </c>
      <c r="J64" s="1"/>
      <c r="K64" s="1"/>
      <c r="L64" s="2"/>
      <c r="M64" s="5"/>
      <c r="N64" s="60"/>
      <c r="O64" s="48"/>
      <c r="P64" s="52" t="str">
        <f t="shared" si="8"/>
        <v>note 1</v>
      </c>
      <c r="Q64" s="1" t="str">
        <f t="shared" si="8"/>
        <v>note 2</v>
      </c>
      <c r="R64" s="1">
        <f t="shared" si="8"/>
      </c>
      <c r="S64" s="1">
        <f t="shared" si="8"/>
      </c>
      <c r="T64" s="2">
        <f t="shared" si="8"/>
      </c>
      <c r="U64" s="210"/>
      <c r="V64" s="49"/>
      <c r="W64" s="85"/>
      <c r="X64" s="170"/>
      <c r="Y64" s="171"/>
      <c r="Z64" s="171"/>
      <c r="AA64" s="172"/>
      <c r="AB64" s="173"/>
      <c r="AC64" s="90"/>
      <c r="AD64" s="98"/>
      <c r="AE64" s="118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20"/>
      <c r="AQ64" s="99"/>
    </row>
    <row r="65" spans="1:43" ht="26.25" customHeight="1" hidden="1" outlineLevel="2" thickBot="1">
      <c r="A65" s="137"/>
      <c r="B65" s="137"/>
      <c r="C65" s="73"/>
      <c r="D65" s="16"/>
      <c r="E65" s="11"/>
      <c r="F65" s="25"/>
      <c r="G65" s="63"/>
      <c r="H65" s="287" t="s">
        <v>24</v>
      </c>
      <c r="I65" s="288"/>
      <c r="J65" s="288"/>
      <c r="K65" s="288"/>
      <c r="L65" s="289"/>
      <c r="M65" s="53"/>
      <c r="N65" s="60"/>
      <c r="O65" s="48"/>
      <c r="P65" s="287" t="s">
        <v>24</v>
      </c>
      <c r="Q65" s="288"/>
      <c r="R65" s="288"/>
      <c r="S65" s="288"/>
      <c r="T65" s="289"/>
      <c r="U65" s="211"/>
      <c r="V65" s="49"/>
      <c r="W65" s="85"/>
      <c r="X65" s="263"/>
      <c r="Y65" s="264"/>
      <c r="Z65" s="264"/>
      <c r="AA65" s="265"/>
      <c r="AB65" s="174"/>
      <c r="AC65" s="90"/>
      <c r="AD65" s="98"/>
      <c r="AE65" s="118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20"/>
      <c r="AQ65" s="99"/>
    </row>
    <row r="66" spans="1:43" ht="34.5" customHeight="1" outlineLevel="1" collapsed="1" thickBot="1" thickTop="1">
      <c r="A66" s="131" t="s">
        <v>208</v>
      </c>
      <c r="B66" s="131" t="s">
        <v>122</v>
      </c>
      <c r="C66" s="71">
        <f>D66+E66</f>
        <v>7</v>
      </c>
      <c r="D66" s="14">
        <v>4</v>
      </c>
      <c r="E66" s="13">
        <v>3</v>
      </c>
      <c r="F66" s="23">
        <v>6</v>
      </c>
      <c r="G66" s="61"/>
      <c r="H66" s="145">
        <v>0.6</v>
      </c>
      <c r="I66" s="80">
        <v>0.54</v>
      </c>
      <c r="J66" s="80">
        <v>1.15</v>
      </c>
      <c r="K66" s="80">
        <v>1</v>
      </c>
      <c r="L66" s="146">
        <v>1.4</v>
      </c>
      <c r="M66" s="130">
        <f>SUM(H66:L66)</f>
        <v>4.6899999999999995</v>
      </c>
      <c r="N66" s="60"/>
      <c r="O66" s="48"/>
      <c r="P66" s="145">
        <v>0.6</v>
      </c>
      <c r="Q66" s="80">
        <v>0.34</v>
      </c>
      <c r="R66" s="80">
        <v>1.15</v>
      </c>
      <c r="S66" s="80">
        <v>0.7</v>
      </c>
      <c r="T66" s="146">
        <v>1</v>
      </c>
      <c r="U66" s="209">
        <f>SUM(P66:T66)</f>
        <v>3.79</v>
      </c>
      <c r="V66" s="49"/>
      <c r="W66" s="85"/>
      <c r="X66" s="166">
        <f>0.1+0.4+0.25</f>
        <v>0.75</v>
      </c>
      <c r="Y66" s="167">
        <f>0.1+0.03+0.15+0.25+0.25+0.25</f>
        <v>1.03</v>
      </c>
      <c r="Z66" s="167">
        <f>0.25+0.06+0.75+0.25+0.2+0.25+0.25</f>
        <v>2.01</v>
      </c>
      <c r="AA66" s="168"/>
      <c r="AB66" s="169">
        <f>SUM(X66:Z66)</f>
        <v>3.79</v>
      </c>
      <c r="AC66" s="90"/>
      <c r="AD66" s="98"/>
      <c r="AE66" s="118">
        <v>0.06</v>
      </c>
      <c r="AF66" s="119"/>
      <c r="AG66" s="119"/>
      <c r="AH66" s="119"/>
      <c r="AI66" s="119">
        <v>0.25</v>
      </c>
      <c r="AJ66" s="119">
        <v>0.75</v>
      </c>
      <c r="AK66" s="119">
        <v>0.45</v>
      </c>
      <c r="AL66" s="119">
        <v>0.25</v>
      </c>
      <c r="AM66" s="119">
        <v>0.25</v>
      </c>
      <c r="AN66" s="119"/>
      <c r="AO66" s="119"/>
      <c r="AP66" s="120">
        <f>SUM(AE66:AO66)</f>
        <v>2.01</v>
      </c>
      <c r="AQ66" s="99"/>
    </row>
    <row r="67" spans="1:43" ht="16.5" hidden="1" outlineLevel="2" thickBot="1">
      <c r="A67" s="132"/>
      <c r="B67" s="132"/>
      <c r="C67" s="72"/>
      <c r="D67" s="15"/>
      <c r="E67" s="10"/>
      <c r="F67" s="24"/>
      <c r="G67" s="62"/>
      <c r="H67" s="52" t="s">
        <v>9</v>
      </c>
      <c r="I67" s="1" t="s">
        <v>10</v>
      </c>
      <c r="J67" s="1" t="s">
        <v>11</v>
      </c>
      <c r="K67" s="1" t="s">
        <v>12</v>
      </c>
      <c r="L67" s="2" t="s">
        <v>13</v>
      </c>
      <c r="M67" s="5"/>
      <c r="N67" s="60"/>
      <c r="O67" s="48"/>
      <c r="P67" s="52" t="s">
        <v>9</v>
      </c>
      <c r="Q67" s="1" t="s">
        <v>10</v>
      </c>
      <c r="R67" s="1" t="s">
        <v>11</v>
      </c>
      <c r="S67" s="1" t="s">
        <v>12</v>
      </c>
      <c r="T67" s="2" t="s">
        <v>13</v>
      </c>
      <c r="U67" s="210"/>
      <c r="V67" s="49"/>
      <c r="W67" s="85"/>
      <c r="X67" s="170"/>
      <c r="Y67" s="171"/>
      <c r="Z67" s="171" t="s">
        <v>75</v>
      </c>
      <c r="AA67" s="172"/>
      <c r="AB67" s="173"/>
      <c r="AC67" s="90"/>
      <c r="AD67" s="98"/>
      <c r="AE67" s="118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20"/>
      <c r="AQ67" s="99"/>
    </row>
    <row r="68" spans="1:43" ht="40.5" customHeight="1" hidden="1" outlineLevel="2">
      <c r="A68" s="132"/>
      <c r="B68" s="132"/>
      <c r="C68" s="72"/>
      <c r="D68" s="15"/>
      <c r="E68" s="10"/>
      <c r="F68" s="24"/>
      <c r="G68" s="62"/>
      <c r="H68" s="246" t="s">
        <v>34</v>
      </c>
      <c r="I68" s="247"/>
      <c r="J68" s="247"/>
      <c r="K68" s="247"/>
      <c r="L68" s="248"/>
      <c r="M68" s="53"/>
      <c r="N68" s="60"/>
      <c r="O68" s="48"/>
      <c r="P68" s="246" t="s">
        <v>34</v>
      </c>
      <c r="Q68" s="247"/>
      <c r="R68" s="247"/>
      <c r="S68" s="247"/>
      <c r="T68" s="248"/>
      <c r="U68" s="211"/>
      <c r="V68" s="49"/>
      <c r="W68" s="85"/>
      <c r="X68" s="251" t="s">
        <v>81</v>
      </c>
      <c r="Y68" s="252"/>
      <c r="Z68" s="252"/>
      <c r="AA68" s="253"/>
      <c r="AB68" s="174"/>
      <c r="AC68" s="90"/>
      <c r="AD68" s="98"/>
      <c r="AE68" s="118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20"/>
      <c r="AQ68" s="99"/>
    </row>
    <row r="69" spans="1:43" ht="21.75" customHeight="1" hidden="1" outlineLevel="2">
      <c r="A69" s="133"/>
      <c r="B69" s="133"/>
      <c r="C69" s="72"/>
      <c r="D69" s="15"/>
      <c r="E69" s="10"/>
      <c r="F69" s="24"/>
      <c r="G69" s="62"/>
      <c r="H69" s="237" t="s">
        <v>52</v>
      </c>
      <c r="I69" s="238"/>
      <c r="J69" s="238"/>
      <c r="K69" s="238"/>
      <c r="L69" s="239"/>
      <c r="M69" s="53"/>
      <c r="N69" s="60"/>
      <c r="O69" s="48"/>
      <c r="P69" s="237" t="s">
        <v>55</v>
      </c>
      <c r="Q69" s="238"/>
      <c r="R69" s="238"/>
      <c r="S69" s="238"/>
      <c r="T69" s="239"/>
      <c r="U69" s="211"/>
      <c r="V69" s="49"/>
      <c r="W69" s="85"/>
      <c r="X69" s="254"/>
      <c r="Y69" s="255"/>
      <c r="Z69" s="255"/>
      <c r="AA69" s="256"/>
      <c r="AB69" s="174"/>
      <c r="AC69" s="90"/>
      <c r="AD69" s="98"/>
      <c r="AE69" s="118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20"/>
      <c r="AQ69" s="99"/>
    </row>
    <row r="70" spans="1:43" ht="30" customHeight="1" hidden="1" outlineLevel="2">
      <c r="A70" s="133"/>
      <c r="B70" s="133"/>
      <c r="C70" s="72"/>
      <c r="D70" s="15"/>
      <c r="E70" s="10"/>
      <c r="F70" s="24"/>
      <c r="G70" s="62"/>
      <c r="H70" s="284" t="s">
        <v>36</v>
      </c>
      <c r="I70" s="285"/>
      <c r="J70" s="285"/>
      <c r="K70" s="285"/>
      <c r="L70" s="286"/>
      <c r="M70" s="53"/>
      <c r="N70" s="60"/>
      <c r="O70" s="48"/>
      <c r="P70" s="284" t="s">
        <v>36</v>
      </c>
      <c r="Q70" s="285"/>
      <c r="R70" s="285"/>
      <c r="S70" s="285"/>
      <c r="T70" s="286"/>
      <c r="U70" s="211"/>
      <c r="V70" s="49"/>
      <c r="W70" s="85"/>
      <c r="X70" s="254"/>
      <c r="Y70" s="255"/>
      <c r="Z70" s="255"/>
      <c r="AA70" s="256"/>
      <c r="AB70" s="174"/>
      <c r="AC70" s="90"/>
      <c r="AD70" s="98"/>
      <c r="AE70" s="118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20"/>
      <c r="AQ70" s="99"/>
    </row>
    <row r="71" spans="1:43" ht="27.75" customHeight="1" hidden="1" outlineLevel="2">
      <c r="A71" s="133"/>
      <c r="B71" s="133"/>
      <c r="C71" s="72"/>
      <c r="D71" s="15"/>
      <c r="E71" s="10"/>
      <c r="F71" s="24"/>
      <c r="G71" s="62"/>
      <c r="H71" s="237" t="s">
        <v>35</v>
      </c>
      <c r="I71" s="238"/>
      <c r="J71" s="238"/>
      <c r="K71" s="238"/>
      <c r="L71" s="239"/>
      <c r="M71" s="53"/>
      <c r="N71" s="60"/>
      <c r="O71" s="48"/>
      <c r="P71" s="237" t="s">
        <v>54</v>
      </c>
      <c r="Q71" s="238"/>
      <c r="R71" s="238"/>
      <c r="S71" s="238"/>
      <c r="T71" s="239"/>
      <c r="U71" s="211"/>
      <c r="V71" s="49"/>
      <c r="W71" s="85"/>
      <c r="X71" s="254"/>
      <c r="Y71" s="255"/>
      <c r="Z71" s="255"/>
      <c r="AA71" s="256"/>
      <c r="AB71" s="174"/>
      <c r="AC71" s="90"/>
      <c r="AD71" s="98"/>
      <c r="AE71" s="118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20"/>
      <c r="AQ71" s="99"/>
    </row>
    <row r="72" spans="1:43" ht="28.5" customHeight="1" hidden="1" outlineLevel="2">
      <c r="A72" s="133"/>
      <c r="B72" s="133"/>
      <c r="C72" s="72"/>
      <c r="D72" s="15"/>
      <c r="E72" s="10"/>
      <c r="F72" s="24"/>
      <c r="G72" s="62"/>
      <c r="H72" s="237" t="s">
        <v>230</v>
      </c>
      <c r="I72" s="238"/>
      <c r="J72" s="238"/>
      <c r="K72" s="238"/>
      <c r="L72" s="239"/>
      <c r="M72" s="53"/>
      <c r="N72" s="60"/>
      <c r="O72" s="48"/>
      <c r="P72" s="237" t="s">
        <v>231</v>
      </c>
      <c r="Q72" s="238"/>
      <c r="R72" s="238"/>
      <c r="S72" s="238"/>
      <c r="T72" s="239"/>
      <c r="U72" s="211"/>
      <c r="V72" s="49"/>
      <c r="W72" s="85"/>
      <c r="X72" s="240"/>
      <c r="Y72" s="241"/>
      <c r="Z72" s="241"/>
      <c r="AA72" s="242"/>
      <c r="AB72" s="174"/>
      <c r="AC72" s="90"/>
      <c r="AD72" s="98"/>
      <c r="AE72" s="118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20"/>
      <c r="AQ72" s="99"/>
    </row>
    <row r="73" spans="1:43" ht="10.5" customHeight="1" hidden="1" outlineLevel="2" thickBot="1">
      <c r="A73" s="134"/>
      <c r="B73" s="134"/>
      <c r="C73" s="73"/>
      <c r="D73" s="16"/>
      <c r="E73" s="11"/>
      <c r="F73" s="25"/>
      <c r="G73" s="63"/>
      <c r="H73" s="234"/>
      <c r="I73" s="235"/>
      <c r="J73" s="235"/>
      <c r="K73" s="235"/>
      <c r="L73" s="236"/>
      <c r="M73" s="53"/>
      <c r="N73" s="60"/>
      <c r="O73" s="48"/>
      <c r="P73" s="234"/>
      <c r="Q73" s="235"/>
      <c r="R73" s="235"/>
      <c r="S73" s="235"/>
      <c r="T73" s="236"/>
      <c r="U73" s="211"/>
      <c r="V73" s="49"/>
      <c r="W73" s="85"/>
      <c r="X73" s="223"/>
      <c r="Y73" s="249"/>
      <c r="Z73" s="249"/>
      <c r="AA73" s="250"/>
      <c r="AB73" s="174"/>
      <c r="AC73" s="90"/>
      <c r="AD73" s="98"/>
      <c r="AE73" s="118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20"/>
      <c r="AQ73" s="99"/>
    </row>
    <row r="74" spans="1:43" ht="34.5" customHeight="1" outlineLevel="1" collapsed="1" thickBot="1" thickTop="1">
      <c r="A74" s="131" t="s">
        <v>208</v>
      </c>
      <c r="B74" s="131" t="s">
        <v>218</v>
      </c>
      <c r="C74" s="71">
        <f>D74+E74</f>
        <v>4</v>
      </c>
      <c r="D74" s="14">
        <v>2</v>
      </c>
      <c r="E74" s="13">
        <v>2</v>
      </c>
      <c r="F74" s="23">
        <v>0</v>
      </c>
      <c r="G74" s="61"/>
      <c r="H74" s="145">
        <v>0.25</v>
      </c>
      <c r="I74" s="80">
        <v>0.05</v>
      </c>
      <c r="J74" s="80"/>
      <c r="K74" s="80"/>
      <c r="L74" s="146">
        <v>0.6</v>
      </c>
      <c r="M74" s="130">
        <f>SUM(H74:L74)</f>
        <v>0.8999999999999999</v>
      </c>
      <c r="N74" s="60"/>
      <c r="O74" s="48"/>
      <c r="P74" s="145">
        <f aca="true" t="shared" si="9" ref="P74:T75">IF(H74=0,"",H74)</f>
        <v>0.25</v>
      </c>
      <c r="Q74" s="80">
        <f t="shared" si="9"/>
        <v>0.05</v>
      </c>
      <c r="R74" s="80">
        <f t="shared" si="9"/>
      </c>
      <c r="S74" s="80">
        <f t="shared" si="9"/>
      </c>
      <c r="T74" s="146">
        <f t="shared" si="9"/>
        <v>0.6</v>
      </c>
      <c r="U74" s="209">
        <f>SUM(P74:T74)</f>
        <v>0.8999999999999999</v>
      </c>
      <c r="V74" s="49"/>
      <c r="W74" s="85"/>
      <c r="X74" s="166">
        <v>0.3</v>
      </c>
      <c r="Y74" s="167">
        <v>0.1</v>
      </c>
      <c r="Z74" s="167"/>
      <c r="AA74" s="168"/>
      <c r="AB74" s="169">
        <f>SUM(X74:Z74)</f>
        <v>0.4</v>
      </c>
      <c r="AC74" s="90"/>
      <c r="AD74" s="98"/>
      <c r="AE74" s="118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20">
        <f>SUM(AE74:AO74)</f>
        <v>0</v>
      </c>
      <c r="AQ74" s="99"/>
    </row>
    <row r="75" spans="1:43" ht="16.5" hidden="1" outlineLevel="2" thickBot="1">
      <c r="A75" s="132"/>
      <c r="B75" s="132"/>
      <c r="C75" s="72"/>
      <c r="D75" s="15"/>
      <c r="E75" s="10"/>
      <c r="F75" s="24"/>
      <c r="G75" s="62"/>
      <c r="H75" s="52" t="s">
        <v>9</v>
      </c>
      <c r="I75" s="1" t="s">
        <v>10</v>
      </c>
      <c r="J75" s="1"/>
      <c r="K75" s="1"/>
      <c r="L75" s="2" t="s">
        <v>11</v>
      </c>
      <c r="M75" s="5"/>
      <c r="N75" s="60"/>
      <c r="O75" s="48"/>
      <c r="P75" s="52" t="str">
        <f t="shared" si="9"/>
        <v>note 1</v>
      </c>
      <c r="Q75" s="1" t="str">
        <f t="shared" si="9"/>
        <v>note 2</v>
      </c>
      <c r="R75" s="1">
        <f t="shared" si="9"/>
      </c>
      <c r="S75" s="1">
        <f t="shared" si="9"/>
      </c>
      <c r="T75" s="2" t="str">
        <f t="shared" si="9"/>
        <v>note 3</v>
      </c>
      <c r="U75" s="210"/>
      <c r="V75" s="49"/>
      <c r="W75" s="85"/>
      <c r="X75" s="170"/>
      <c r="Y75" s="171"/>
      <c r="Z75" s="171"/>
      <c r="AA75" s="172"/>
      <c r="AB75" s="173"/>
      <c r="AC75" s="90"/>
      <c r="AD75" s="98"/>
      <c r="AE75" s="118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20"/>
      <c r="AQ75" s="99"/>
    </row>
    <row r="76" spans="1:43" ht="32.25" customHeight="1" hidden="1" outlineLevel="2">
      <c r="A76" s="139"/>
      <c r="B76" s="139"/>
      <c r="C76" s="72"/>
      <c r="D76" s="15"/>
      <c r="E76" s="10"/>
      <c r="F76" s="24"/>
      <c r="G76" s="62"/>
      <c r="H76" s="246" t="s">
        <v>202</v>
      </c>
      <c r="I76" s="247"/>
      <c r="J76" s="247"/>
      <c r="K76" s="247"/>
      <c r="L76" s="248"/>
      <c r="M76" s="53"/>
      <c r="N76" s="60"/>
      <c r="O76" s="48"/>
      <c r="P76" s="246" t="str">
        <f>H76</f>
        <v>(1). 0.10  Teachers’ program and UWRF Upward Bound (Madsen),  0.15 Undergraduate research (Madsen, Spiczak, Tamburro, AbuZayyad)</v>
      </c>
      <c r="Q76" s="247"/>
      <c r="R76" s="247"/>
      <c r="S76" s="247"/>
      <c r="T76" s="248"/>
      <c r="U76" s="211"/>
      <c r="V76" s="49"/>
      <c r="W76" s="85"/>
      <c r="X76" s="251" t="s">
        <v>98</v>
      </c>
      <c r="Y76" s="252"/>
      <c r="Z76" s="252"/>
      <c r="AA76" s="253"/>
      <c r="AB76" s="175"/>
      <c r="AC76" s="90"/>
      <c r="AD76" s="98"/>
      <c r="AE76" s="118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20"/>
      <c r="AQ76" s="99"/>
    </row>
    <row r="77" spans="1:43" ht="32.25" customHeight="1" hidden="1" outlineLevel="2">
      <c r="A77" s="140"/>
      <c r="B77" s="140"/>
      <c r="C77" s="72"/>
      <c r="D77" s="15"/>
      <c r="E77" s="10"/>
      <c r="F77" s="24"/>
      <c r="G77" s="62"/>
      <c r="H77" s="237" t="s">
        <v>203</v>
      </c>
      <c r="I77" s="238"/>
      <c r="J77" s="238"/>
      <c r="K77" s="238"/>
      <c r="L77" s="239"/>
      <c r="M77" s="53"/>
      <c r="N77" s="60"/>
      <c r="O77" s="48"/>
      <c r="P77" s="237" t="str">
        <f>H77</f>
        <v>(2). 0.05  IceTop tank Monitoring (Spiczak, Tamburro)</v>
      </c>
      <c r="Q77" s="238"/>
      <c r="R77" s="238"/>
      <c r="S77" s="238"/>
      <c r="T77" s="239"/>
      <c r="U77" s="211"/>
      <c r="V77" s="49"/>
      <c r="W77" s="85"/>
      <c r="X77" s="254"/>
      <c r="Y77" s="255"/>
      <c r="Z77" s="255"/>
      <c r="AA77" s="256"/>
      <c r="AB77" s="175"/>
      <c r="AC77" s="90"/>
      <c r="AD77" s="98"/>
      <c r="AE77" s="118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20"/>
      <c r="AQ77" s="99"/>
    </row>
    <row r="78" spans="1:43" ht="32.25" customHeight="1" hidden="1" outlineLevel="2">
      <c r="A78" s="140"/>
      <c r="B78" s="140"/>
      <c r="C78" s="72"/>
      <c r="D78" s="15"/>
      <c r="E78" s="10"/>
      <c r="F78" s="24"/>
      <c r="G78" s="62"/>
      <c r="H78" s="237" t="s">
        <v>204</v>
      </c>
      <c r="I78" s="238"/>
      <c r="J78" s="238"/>
      <c r="K78" s="238"/>
      <c r="L78" s="239"/>
      <c r="M78" s="53"/>
      <c r="N78" s="60"/>
      <c r="O78" s="48"/>
      <c r="P78" s="237" t="str">
        <f>H78</f>
        <v>(3) 0.6   Cosmic ray shower simulations and reconstruction, TankTop simulations, Photon transport in-ice (Madsen, Tamburro, AbuZayyad)</v>
      </c>
      <c r="Q78" s="238"/>
      <c r="R78" s="238"/>
      <c r="S78" s="238"/>
      <c r="T78" s="239"/>
      <c r="U78" s="211"/>
      <c r="V78" s="49"/>
      <c r="W78" s="85"/>
      <c r="X78" s="254"/>
      <c r="Y78" s="255"/>
      <c r="Z78" s="255"/>
      <c r="AA78" s="256"/>
      <c r="AB78" s="175"/>
      <c r="AC78" s="90"/>
      <c r="AD78" s="98"/>
      <c r="AE78" s="118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20"/>
      <c r="AQ78" s="99"/>
    </row>
    <row r="79" spans="1:43" ht="9.75" customHeight="1" hidden="1" outlineLevel="2" thickBot="1">
      <c r="A79" s="140"/>
      <c r="B79" s="140"/>
      <c r="C79" s="72"/>
      <c r="D79" s="15"/>
      <c r="E79" s="10"/>
      <c r="F79" s="24"/>
      <c r="G79" s="62"/>
      <c r="H79" s="237"/>
      <c r="I79" s="238"/>
      <c r="J79" s="238"/>
      <c r="K79" s="238"/>
      <c r="L79" s="239"/>
      <c r="M79" s="53"/>
      <c r="N79" s="60"/>
      <c r="O79" s="48"/>
      <c r="P79" s="237"/>
      <c r="Q79" s="238"/>
      <c r="R79" s="238"/>
      <c r="S79" s="238"/>
      <c r="T79" s="239"/>
      <c r="U79" s="211"/>
      <c r="V79" s="49"/>
      <c r="W79" s="85"/>
      <c r="X79" s="260"/>
      <c r="Y79" s="261"/>
      <c r="Z79" s="261"/>
      <c r="AA79" s="262"/>
      <c r="AB79" s="175"/>
      <c r="AC79" s="90"/>
      <c r="AD79" s="98"/>
      <c r="AE79" s="118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20"/>
      <c r="AQ79" s="99"/>
    </row>
    <row r="80" spans="1:43" ht="34.5" customHeight="1" outlineLevel="1" collapsed="1" thickBot="1" thickTop="1">
      <c r="A80" s="131" t="s">
        <v>208</v>
      </c>
      <c r="B80" s="131" t="s">
        <v>123</v>
      </c>
      <c r="C80" s="71">
        <f>D80+E80</f>
        <v>18</v>
      </c>
      <c r="D80" s="14">
        <v>5</v>
      </c>
      <c r="E80" s="13">
        <v>13</v>
      </c>
      <c r="F80" s="23">
        <v>10</v>
      </c>
      <c r="G80" s="61"/>
      <c r="H80" s="145">
        <v>1.38</v>
      </c>
      <c r="I80" s="150">
        <v>1.69</v>
      </c>
      <c r="J80" s="150">
        <v>1.35</v>
      </c>
      <c r="K80" s="150">
        <v>0.95</v>
      </c>
      <c r="L80" s="151">
        <v>2.6</v>
      </c>
      <c r="M80" s="130">
        <f>SUM(H80:L80)</f>
        <v>7.970000000000001</v>
      </c>
      <c r="N80" s="60"/>
      <c r="O80" s="48"/>
      <c r="P80" s="145">
        <f>H80-0.42</f>
        <v>0.96</v>
      </c>
      <c r="Q80" s="150">
        <f>I80-0.6</f>
        <v>1.0899999999999999</v>
      </c>
      <c r="R80" s="150">
        <f>J80-0.7</f>
        <v>0.6500000000000001</v>
      </c>
      <c r="S80" s="150">
        <f>K80</f>
        <v>0.95</v>
      </c>
      <c r="T80" s="151">
        <f>L80-0.5</f>
        <v>2.1</v>
      </c>
      <c r="U80" s="209">
        <f>SUM(P80:T80)</f>
        <v>5.75</v>
      </c>
      <c r="V80" s="49"/>
      <c r="W80" s="85"/>
      <c r="X80" s="166">
        <f>0.43+0.1</f>
        <v>0.53</v>
      </c>
      <c r="Y80" s="167">
        <f>0.1+0.25+0.15+0.12+0.25+0.3+0.15+1.2</f>
        <v>2.5199999999999996</v>
      </c>
      <c r="Z80" s="176">
        <v>3.72</v>
      </c>
      <c r="AA80" s="168">
        <v>0.5</v>
      </c>
      <c r="AB80" s="169">
        <f>SUM(X80:AA80)</f>
        <v>7.27</v>
      </c>
      <c r="AC80" s="90"/>
      <c r="AD80" s="98"/>
      <c r="AE80" s="118">
        <v>0.12</v>
      </c>
      <c r="AF80" s="119">
        <v>0.8</v>
      </c>
      <c r="AG80" s="119">
        <v>0.2</v>
      </c>
      <c r="AH80" s="119"/>
      <c r="AI80" s="119">
        <v>0.3</v>
      </c>
      <c r="AJ80" s="119"/>
      <c r="AK80" s="119">
        <v>0.5</v>
      </c>
      <c r="AL80" s="119">
        <v>0.95</v>
      </c>
      <c r="AM80" s="119">
        <v>0.6</v>
      </c>
      <c r="AN80" s="119">
        <v>0.25</v>
      </c>
      <c r="AO80" s="119"/>
      <c r="AP80" s="120">
        <f>SUM(AE80:AO80)</f>
        <v>3.72</v>
      </c>
      <c r="AQ80" s="99"/>
    </row>
    <row r="81" spans="1:43" ht="16.5" hidden="1" outlineLevel="2" thickBot="1">
      <c r="A81" s="7"/>
      <c r="B81" s="7"/>
      <c r="C81" s="72"/>
      <c r="D81" s="15"/>
      <c r="E81" s="10"/>
      <c r="F81" s="24"/>
      <c r="G81" s="62"/>
      <c r="H81" s="52" t="s">
        <v>9</v>
      </c>
      <c r="I81" s="1" t="s">
        <v>10</v>
      </c>
      <c r="J81" s="1" t="s">
        <v>11</v>
      </c>
      <c r="K81" s="1" t="s">
        <v>12</v>
      </c>
      <c r="L81" s="2" t="s">
        <v>13</v>
      </c>
      <c r="M81" s="5"/>
      <c r="N81" s="60"/>
      <c r="O81" s="48"/>
      <c r="P81" s="52" t="s">
        <v>9</v>
      </c>
      <c r="Q81" s="1" t="s">
        <v>10</v>
      </c>
      <c r="R81" s="1" t="s">
        <v>11</v>
      </c>
      <c r="S81" s="1" t="s">
        <v>12</v>
      </c>
      <c r="T81" s="2" t="s">
        <v>13</v>
      </c>
      <c r="U81" s="210"/>
      <c r="V81" s="49"/>
      <c r="W81" s="85"/>
      <c r="X81" s="177"/>
      <c r="Y81" s="178"/>
      <c r="Z81" s="171" t="s">
        <v>75</v>
      </c>
      <c r="AA81" s="178"/>
      <c r="AB81" s="175"/>
      <c r="AC81" s="90"/>
      <c r="AD81" s="98"/>
      <c r="AE81" s="118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20"/>
      <c r="AQ81" s="99"/>
    </row>
    <row r="82" spans="1:43" ht="66.75" customHeight="1" hidden="1" outlineLevel="2">
      <c r="A82" s="8"/>
      <c r="B82" s="8"/>
      <c r="C82" s="72"/>
      <c r="D82" s="15"/>
      <c r="E82" s="10"/>
      <c r="F82" s="24"/>
      <c r="G82" s="62"/>
      <c r="H82" s="246" t="s">
        <v>194</v>
      </c>
      <c r="I82" s="247"/>
      <c r="J82" s="247"/>
      <c r="K82" s="247"/>
      <c r="L82" s="248"/>
      <c r="M82" s="53"/>
      <c r="N82" s="60"/>
      <c r="O82" s="48"/>
      <c r="P82" s="246" t="s">
        <v>198</v>
      </c>
      <c r="Q82" s="247"/>
      <c r="R82" s="247"/>
      <c r="S82" s="247"/>
      <c r="T82" s="248"/>
      <c r="U82" s="211"/>
      <c r="V82" s="49"/>
      <c r="W82" s="85"/>
      <c r="X82" s="251" t="s">
        <v>98</v>
      </c>
      <c r="Y82" s="252"/>
      <c r="Z82" s="252"/>
      <c r="AA82" s="253"/>
      <c r="AB82" s="175"/>
      <c r="AC82" s="90"/>
      <c r="AD82" s="98"/>
      <c r="AE82" s="118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20"/>
      <c r="AQ82" s="99"/>
    </row>
    <row r="83" spans="1:43" ht="55.5" customHeight="1" hidden="1" outlineLevel="2">
      <c r="A83" s="9"/>
      <c r="B83" s="9"/>
      <c r="C83" s="72"/>
      <c r="D83" s="15"/>
      <c r="E83" s="10"/>
      <c r="F83" s="24"/>
      <c r="G83" s="62"/>
      <c r="H83" s="237" t="s">
        <v>195</v>
      </c>
      <c r="I83" s="238"/>
      <c r="J83" s="238"/>
      <c r="K83" s="238"/>
      <c r="L83" s="239"/>
      <c r="M83" s="53"/>
      <c r="N83" s="60"/>
      <c r="O83" s="48"/>
      <c r="P83" s="237" t="s">
        <v>199</v>
      </c>
      <c r="Q83" s="238"/>
      <c r="R83" s="238"/>
      <c r="S83" s="238"/>
      <c r="T83" s="239"/>
      <c r="U83" s="211"/>
      <c r="V83" s="49"/>
      <c r="W83" s="85"/>
      <c r="X83" s="254"/>
      <c r="Y83" s="255"/>
      <c r="Z83" s="255"/>
      <c r="AA83" s="256"/>
      <c r="AB83" s="175"/>
      <c r="AC83" s="90"/>
      <c r="AD83" s="98"/>
      <c r="AE83" s="118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20"/>
      <c r="AQ83" s="99"/>
    </row>
    <row r="84" spans="1:43" ht="48.75" customHeight="1" hidden="1" outlineLevel="2">
      <c r="A84" s="9"/>
      <c r="B84" s="9"/>
      <c r="C84" s="72"/>
      <c r="D84" s="15"/>
      <c r="E84" s="10"/>
      <c r="F84" s="24"/>
      <c r="G84" s="62"/>
      <c r="H84" s="237" t="s">
        <v>196</v>
      </c>
      <c r="I84" s="238"/>
      <c r="J84" s="238"/>
      <c r="K84" s="238"/>
      <c r="L84" s="239"/>
      <c r="M84" s="53"/>
      <c r="N84" s="60"/>
      <c r="O84" s="48"/>
      <c r="P84" s="237" t="s">
        <v>200</v>
      </c>
      <c r="Q84" s="238"/>
      <c r="R84" s="238"/>
      <c r="S84" s="238"/>
      <c r="T84" s="239"/>
      <c r="U84" s="211"/>
      <c r="V84" s="49"/>
      <c r="W84" s="85"/>
      <c r="X84" s="260"/>
      <c r="Y84" s="261"/>
      <c r="Z84" s="261"/>
      <c r="AA84" s="262"/>
      <c r="AB84" s="175"/>
      <c r="AC84" s="90"/>
      <c r="AD84" s="98"/>
      <c r="AE84" s="118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20"/>
      <c r="AQ84" s="99"/>
    </row>
    <row r="85" spans="1:43" ht="48" customHeight="1" hidden="1" outlineLevel="2">
      <c r="A85" s="9"/>
      <c r="B85" s="9"/>
      <c r="C85" s="72"/>
      <c r="D85" s="15"/>
      <c r="E85" s="10"/>
      <c r="F85" s="24"/>
      <c r="G85" s="62"/>
      <c r="H85" s="237" t="s">
        <v>193</v>
      </c>
      <c r="I85" s="238"/>
      <c r="J85" s="238"/>
      <c r="K85" s="238"/>
      <c r="L85" s="239"/>
      <c r="M85" s="53"/>
      <c r="N85" s="60"/>
      <c r="O85" s="48"/>
      <c r="P85" s="237" t="s">
        <v>193</v>
      </c>
      <c r="Q85" s="238"/>
      <c r="R85" s="238"/>
      <c r="S85" s="238"/>
      <c r="T85" s="239"/>
      <c r="U85" s="211"/>
      <c r="V85" s="49"/>
      <c r="W85" s="85"/>
      <c r="X85" s="240"/>
      <c r="Y85" s="241"/>
      <c r="Z85" s="241"/>
      <c r="AA85" s="242"/>
      <c r="AB85" s="175"/>
      <c r="AC85" s="90"/>
      <c r="AD85" s="98"/>
      <c r="AE85" s="118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20"/>
      <c r="AQ85" s="99"/>
    </row>
    <row r="86" spans="1:43" ht="119.25" customHeight="1" hidden="1" outlineLevel="2">
      <c r="A86" s="9"/>
      <c r="B86" s="9"/>
      <c r="C86" s="72"/>
      <c r="D86" s="15"/>
      <c r="E86" s="10"/>
      <c r="F86" s="24"/>
      <c r="G86" s="62"/>
      <c r="H86" s="237" t="s">
        <v>197</v>
      </c>
      <c r="I86" s="238"/>
      <c r="J86" s="238"/>
      <c r="K86" s="238"/>
      <c r="L86" s="239"/>
      <c r="M86" s="53"/>
      <c r="N86" s="60"/>
      <c r="O86" s="48"/>
      <c r="P86" s="237" t="s">
        <v>201</v>
      </c>
      <c r="Q86" s="238"/>
      <c r="R86" s="238"/>
      <c r="S86" s="238"/>
      <c r="T86" s="239"/>
      <c r="U86" s="211"/>
      <c r="V86" s="49"/>
      <c r="W86" s="85"/>
      <c r="X86" s="240"/>
      <c r="Y86" s="241"/>
      <c r="Z86" s="241"/>
      <c r="AA86" s="242"/>
      <c r="AB86" s="175"/>
      <c r="AC86" s="90"/>
      <c r="AD86" s="98"/>
      <c r="AE86" s="118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20"/>
      <c r="AQ86" s="99"/>
    </row>
    <row r="87" spans="1:43" ht="12" customHeight="1" hidden="1" outlineLevel="2" thickBot="1">
      <c r="A87" s="3"/>
      <c r="B87" s="3"/>
      <c r="C87" s="73"/>
      <c r="D87" s="16"/>
      <c r="E87" s="11"/>
      <c r="F87" s="25"/>
      <c r="G87" s="63"/>
      <c r="H87" s="234"/>
      <c r="I87" s="235"/>
      <c r="J87" s="235"/>
      <c r="K87" s="235"/>
      <c r="L87" s="236"/>
      <c r="M87" s="54"/>
      <c r="N87" s="60"/>
      <c r="O87" s="48"/>
      <c r="P87" s="234"/>
      <c r="Q87" s="235"/>
      <c r="R87" s="235"/>
      <c r="S87" s="235"/>
      <c r="T87" s="236"/>
      <c r="U87" s="212"/>
      <c r="V87" s="49"/>
      <c r="W87" s="85"/>
      <c r="X87" s="177"/>
      <c r="Y87" s="178"/>
      <c r="Z87" s="178"/>
      <c r="AA87" s="178"/>
      <c r="AB87" s="175"/>
      <c r="AC87" s="90"/>
      <c r="AD87" s="98"/>
      <c r="AE87" s="118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20"/>
      <c r="AQ87" s="99"/>
    </row>
    <row r="88" spans="1:43" ht="32.25" customHeight="1" thickBot="1" thickTop="1">
      <c r="A88" s="165" t="s">
        <v>208</v>
      </c>
      <c r="B88" s="111" t="s">
        <v>29</v>
      </c>
      <c r="C88" s="74">
        <f>SUM(C3:C80)</f>
        <v>68</v>
      </c>
      <c r="D88" s="18">
        <f>SUM(D3:D80)</f>
        <v>32</v>
      </c>
      <c r="E88" s="17">
        <f>SUM(E3:E80)</f>
        <v>36</v>
      </c>
      <c r="F88" s="26">
        <f>SUM(F3:F80)</f>
        <v>28</v>
      </c>
      <c r="G88" s="64"/>
      <c r="H88" s="152">
        <f aca="true" t="shared" si="10" ref="H88:M88">SUM(H3:H87)</f>
        <v>3.83</v>
      </c>
      <c r="I88" s="153">
        <f t="shared" si="10"/>
        <v>7.09</v>
      </c>
      <c r="J88" s="153">
        <f t="shared" si="10"/>
        <v>4.23</v>
      </c>
      <c r="K88" s="153">
        <f t="shared" si="10"/>
        <v>3.95</v>
      </c>
      <c r="L88" s="154">
        <f t="shared" si="10"/>
        <v>8.07</v>
      </c>
      <c r="M88" s="144">
        <f t="shared" si="10"/>
        <v>27.169999999999995</v>
      </c>
      <c r="N88" s="60"/>
      <c r="O88" s="48"/>
      <c r="P88" s="152">
        <f aca="true" t="shared" si="11" ref="P88:U88">SUM(P3:P87)</f>
        <v>3.41</v>
      </c>
      <c r="Q88" s="153">
        <f t="shared" si="11"/>
        <v>4.49</v>
      </c>
      <c r="R88" s="153">
        <f t="shared" si="11"/>
        <v>3.2800000000000002</v>
      </c>
      <c r="S88" s="153">
        <f t="shared" si="11"/>
        <v>3.6500000000000004</v>
      </c>
      <c r="T88" s="154">
        <f t="shared" si="11"/>
        <v>6.67</v>
      </c>
      <c r="U88" s="213">
        <f t="shared" si="11"/>
        <v>21.5</v>
      </c>
      <c r="V88" s="49"/>
      <c r="W88" s="85"/>
      <c r="X88" s="179">
        <f>SUM(X3:X87)</f>
        <v>5.2700000000000005</v>
      </c>
      <c r="Y88" s="180">
        <f>SUM(Y3:Y87)</f>
        <v>8.865</v>
      </c>
      <c r="Z88" s="180">
        <f>SUM(Z3:Z87)</f>
        <v>7.345</v>
      </c>
      <c r="AA88" s="181">
        <f>SUM(AA3:AA87)</f>
        <v>0.5</v>
      </c>
      <c r="AB88" s="182">
        <f>SUM(AB3:AB87)</f>
        <v>21.979999999999997</v>
      </c>
      <c r="AC88" s="90"/>
      <c r="AD88" s="98"/>
      <c r="AE88" s="121">
        <f aca="true" t="shared" si="12" ref="AE88:AP88">SUM(AE3:AE87)</f>
        <v>0.31</v>
      </c>
      <c r="AF88" s="122">
        <f t="shared" si="12"/>
        <v>1.48</v>
      </c>
      <c r="AG88" s="122">
        <f t="shared" si="12"/>
        <v>0.2</v>
      </c>
      <c r="AH88" s="122">
        <f t="shared" si="12"/>
        <v>0</v>
      </c>
      <c r="AI88" s="122">
        <f t="shared" si="12"/>
        <v>0.6499999999999999</v>
      </c>
      <c r="AJ88" s="122">
        <f t="shared" si="12"/>
        <v>0.75</v>
      </c>
      <c r="AK88" s="122">
        <f t="shared" si="12"/>
        <v>1.25</v>
      </c>
      <c r="AL88" s="122">
        <f t="shared" si="12"/>
        <v>1.45</v>
      </c>
      <c r="AM88" s="122">
        <f t="shared" si="12"/>
        <v>0.85</v>
      </c>
      <c r="AN88" s="122">
        <f t="shared" si="12"/>
        <v>0.4</v>
      </c>
      <c r="AO88" s="122">
        <f t="shared" si="12"/>
        <v>0</v>
      </c>
      <c r="AP88" s="123">
        <f t="shared" si="12"/>
        <v>7.34</v>
      </c>
      <c r="AQ88" s="99"/>
    </row>
    <row r="89" spans="1:43" ht="3.75" customHeight="1" thickBot="1" thickTop="1">
      <c r="A89" s="4"/>
      <c r="B89" s="4"/>
      <c r="C89" s="73"/>
      <c r="D89" s="16"/>
      <c r="E89" s="11"/>
      <c r="F89" s="25"/>
      <c r="G89" s="63"/>
      <c r="H89" s="155"/>
      <c r="I89" s="156"/>
      <c r="J89" s="156"/>
      <c r="K89" s="156"/>
      <c r="L89" s="156"/>
      <c r="M89" s="161"/>
      <c r="N89" s="60"/>
      <c r="O89" s="48"/>
      <c r="P89" s="155"/>
      <c r="Q89" s="156"/>
      <c r="R89" s="156"/>
      <c r="S89" s="156"/>
      <c r="T89" s="156"/>
      <c r="U89" s="214"/>
      <c r="V89" s="49"/>
      <c r="W89" s="85"/>
      <c r="X89" s="183"/>
      <c r="Y89" s="184"/>
      <c r="Z89" s="184"/>
      <c r="AA89" s="184"/>
      <c r="AB89" s="175"/>
      <c r="AC89" s="90"/>
      <c r="AD89" s="98"/>
      <c r="AE89" s="124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6"/>
      <c r="AQ89" s="99"/>
    </row>
    <row r="90" spans="1:43" ht="34.5" customHeight="1" outlineLevel="1" collapsed="1" thickBot="1" thickTop="1">
      <c r="A90" s="131" t="s">
        <v>210</v>
      </c>
      <c r="B90" s="131" t="s">
        <v>125</v>
      </c>
      <c r="C90" s="71">
        <f>D90+E90</f>
        <v>10</v>
      </c>
      <c r="D90" s="14">
        <v>6</v>
      </c>
      <c r="E90" s="13">
        <v>4</v>
      </c>
      <c r="F90" s="23">
        <v>6</v>
      </c>
      <c r="G90" s="61"/>
      <c r="H90" s="145">
        <v>0.4</v>
      </c>
      <c r="I90" s="80">
        <v>0.88</v>
      </c>
      <c r="J90" s="80">
        <v>2.35</v>
      </c>
      <c r="K90" s="80">
        <v>0.35</v>
      </c>
      <c r="L90" s="146">
        <v>0.3</v>
      </c>
      <c r="M90" s="130">
        <f>SUM(H90:L90)</f>
        <v>4.28</v>
      </c>
      <c r="N90" s="60"/>
      <c r="O90" s="48"/>
      <c r="P90" s="145">
        <f aca="true" t="shared" si="13" ref="P90:T91">IF(H90=0,"",H90)</f>
        <v>0.4</v>
      </c>
      <c r="Q90" s="80">
        <f t="shared" si="13"/>
        <v>0.88</v>
      </c>
      <c r="R90" s="80">
        <f t="shared" si="13"/>
        <v>2.35</v>
      </c>
      <c r="S90" s="80">
        <f t="shared" si="13"/>
        <v>0.35</v>
      </c>
      <c r="T90" s="146">
        <f t="shared" si="13"/>
        <v>0.3</v>
      </c>
      <c r="U90" s="209">
        <f>SUM(P90:T90)</f>
        <v>4.28</v>
      </c>
      <c r="V90" s="49"/>
      <c r="W90" s="85"/>
      <c r="X90" s="166">
        <v>0.45</v>
      </c>
      <c r="Y90" s="167">
        <f>0.3+0.06+0.1+0.15</f>
        <v>0.61</v>
      </c>
      <c r="Z90" s="167">
        <f>0.12+0.25+0.15+0.1+0.1+0.15+0.1</f>
        <v>0.97</v>
      </c>
      <c r="AA90" s="168">
        <f>1.6+0.1</f>
        <v>1.7000000000000002</v>
      </c>
      <c r="AB90" s="169">
        <f>SUM(X90:AA90)</f>
        <v>3.7300000000000004</v>
      </c>
      <c r="AC90" s="90"/>
      <c r="AD90" s="98"/>
      <c r="AE90" s="118">
        <v>0.12</v>
      </c>
      <c r="AF90" s="119"/>
      <c r="AG90" s="119"/>
      <c r="AH90" s="119">
        <v>0.15</v>
      </c>
      <c r="AI90" s="119">
        <v>0.25</v>
      </c>
      <c r="AJ90" s="119"/>
      <c r="AK90" s="119">
        <v>0.25</v>
      </c>
      <c r="AL90" s="119">
        <v>0.1</v>
      </c>
      <c r="AM90" s="119"/>
      <c r="AN90" s="119"/>
      <c r="AO90" s="119">
        <v>0.1</v>
      </c>
      <c r="AP90" s="120">
        <f>SUM(AE90:AO90)</f>
        <v>0.97</v>
      </c>
      <c r="AQ90" s="99"/>
    </row>
    <row r="91" spans="1:43" ht="25.5" customHeight="1" hidden="1" outlineLevel="2" thickBot="1">
      <c r="A91" s="132"/>
      <c r="B91" s="132"/>
      <c r="C91" s="72"/>
      <c r="D91" s="15"/>
      <c r="E91" s="10"/>
      <c r="F91" s="24"/>
      <c r="G91" s="62"/>
      <c r="H91" s="206" t="s">
        <v>9</v>
      </c>
      <c r="I91" s="128" t="s">
        <v>10</v>
      </c>
      <c r="J91" s="128" t="s">
        <v>11</v>
      </c>
      <c r="K91" s="128" t="s">
        <v>12</v>
      </c>
      <c r="L91" s="207" t="s">
        <v>13</v>
      </c>
      <c r="M91" s="5"/>
      <c r="N91" s="60"/>
      <c r="O91" s="48"/>
      <c r="P91" s="52" t="str">
        <f t="shared" si="13"/>
        <v>note 1</v>
      </c>
      <c r="Q91" s="1" t="str">
        <f t="shared" si="13"/>
        <v>note 2</v>
      </c>
      <c r="R91" s="1" t="str">
        <f t="shared" si="13"/>
        <v>note 3</v>
      </c>
      <c r="S91" s="1" t="str">
        <f t="shared" si="13"/>
        <v>note 4</v>
      </c>
      <c r="T91" s="2" t="str">
        <f t="shared" si="13"/>
        <v>note 5</v>
      </c>
      <c r="U91" s="210"/>
      <c r="V91" s="49"/>
      <c r="W91" s="85"/>
      <c r="X91" s="170"/>
      <c r="Y91" s="171"/>
      <c r="Z91" s="171" t="s">
        <v>75</v>
      </c>
      <c r="AA91" s="172"/>
      <c r="AB91" s="173"/>
      <c r="AC91" s="90"/>
      <c r="AD91" s="98"/>
      <c r="AE91" s="118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20"/>
      <c r="AQ91" s="99"/>
    </row>
    <row r="92" spans="1:43" ht="29.25" customHeight="1" hidden="1" outlineLevel="2">
      <c r="A92" s="132"/>
      <c r="B92" s="132"/>
      <c r="C92" s="72"/>
      <c r="D92" s="15"/>
      <c r="E92" s="10"/>
      <c r="F92" s="24"/>
      <c r="G92" s="62"/>
      <c r="H92" s="297" t="s">
        <v>149</v>
      </c>
      <c r="I92" s="298"/>
      <c r="J92" s="298"/>
      <c r="K92" s="298"/>
      <c r="L92" s="299"/>
      <c r="M92" s="53"/>
      <c r="N92" s="60"/>
      <c r="O92" s="48"/>
      <c r="P92" s="246" t="str">
        <f>H92</f>
        <v>(1). member exec-com (Spiering 0.2); R&amp;D (acoustic, 0.1); Host Fall 2009 Collaboration Meeting (share with Humboldt, 0.1);</v>
      </c>
      <c r="Q92" s="247"/>
      <c r="R92" s="247"/>
      <c r="S92" s="247"/>
      <c r="T92" s="248"/>
      <c r="U92" s="211"/>
      <c r="V92" s="49"/>
      <c r="W92" s="85"/>
      <c r="X92" s="228" t="s">
        <v>83</v>
      </c>
      <c r="Y92" s="229"/>
      <c r="Z92" s="229"/>
      <c r="AA92" s="230"/>
      <c r="AB92" s="174"/>
      <c r="AC92" s="90"/>
      <c r="AD92" s="98"/>
      <c r="AE92" s="118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20"/>
      <c r="AQ92" s="99"/>
    </row>
    <row r="93" spans="1:43" ht="39" customHeight="1" hidden="1" outlineLevel="2">
      <c r="A93" s="133"/>
      <c r="B93" s="133"/>
      <c r="C93" s="72"/>
      <c r="D93" s="15"/>
      <c r="E93" s="10"/>
      <c r="F93" s="24"/>
      <c r="G93" s="62"/>
      <c r="H93" s="291" t="s">
        <v>147</v>
      </c>
      <c r="I93" s="292"/>
      <c r="J93" s="292"/>
      <c r="K93" s="292"/>
      <c r="L93" s="293"/>
      <c r="M93" s="53"/>
      <c r="N93" s="60"/>
      <c r="O93" s="48"/>
      <c r="P93" s="237" t="str">
        <f>H93</f>
        <v>(2). DAQ firmware support, 0.30; 0.18M, Deputy monitoring coordinator (0.2), Flasher analysis (0.1, in 2010: 0.2), decommissioning Amanda (0.1)</v>
      </c>
      <c r="Q93" s="238"/>
      <c r="R93" s="238"/>
      <c r="S93" s="238"/>
      <c r="T93" s="239"/>
      <c r="U93" s="211"/>
      <c r="V93" s="49"/>
      <c r="W93" s="85"/>
      <c r="X93" s="224"/>
      <c r="Y93" s="225"/>
      <c r="Z93" s="225"/>
      <c r="AA93" s="226"/>
      <c r="AB93" s="174"/>
      <c r="AC93" s="90"/>
      <c r="AD93" s="98"/>
      <c r="AE93" s="118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20"/>
      <c r="AQ93" s="99"/>
    </row>
    <row r="94" spans="1:43" ht="26.25" customHeight="1" hidden="1" outlineLevel="2">
      <c r="A94" s="133"/>
      <c r="B94" s="133"/>
      <c r="C94" s="72"/>
      <c r="D94" s="15"/>
      <c r="E94" s="10"/>
      <c r="F94" s="24"/>
      <c r="G94" s="62"/>
      <c r="H94" s="291" t="s">
        <v>150</v>
      </c>
      <c r="I94" s="292"/>
      <c r="J94" s="292"/>
      <c r="K94" s="292"/>
      <c r="L94" s="293"/>
      <c r="M94" s="53"/>
      <c r="N94" s="60"/>
      <c r="O94" s="48"/>
      <c r="P94" s="237" t="str">
        <f>H94</f>
        <v>(3). Maintain reconstruction framework (0.25); sim production cluster (0.5); European data center (1.6)</v>
      </c>
      <c r="Q94" s="238"/>
      <c r="R94" s="238"/>
      <c r="S94" s="238"/>
      <c r="T94" s="239"/>
      <c r="U94" s="211"/>
      <c r="V94" s="49"/>
      <c r="W94" s="85"/>
      <c r="X94" s="224"/>
      <c r="Y94" s="225"/>
      <c r="Z94" s="225"/>
      <c r="AA94" s="226"/>
      <c r="AB94" s="174"/>
      <c r="AC94" s="90"/>
      <c r="AD94" s="98"/>
      <c r="AE94" s="118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20"/>
      <c r="AQ94" s="99"/>
    </row>
    <row r="95" spans="1:43" ht="26.25" customHeight="1" hidden="1" outlineLevel="2">
      <c r="A95" s="133"/>
      <c r="B95" s="133"/>
      <c r="C95" s="72"/>
      <c r="D95" s="15"/>
      <c r="E95" s="10"/>
      <c r="F95" s="24"/>
      <c r="G95" s="62"/>
      <c r="H95" s="291" t="s">
        <v>148</v>
      </c>
      <c r="I95" s="292"/>
      <c r="J95" s="292"/>
      <c r="K95" s="292"/>
      <c r="L95" s="293"/>
      <c r="M95" s="53"/>
      <c r="N95" s="60"/>
      <c r="O95" s="48"/>
      <c r="P95" s="237" t="str">
        <f>H95</f>
        <v>(4). Cascade filter  (IC59 Eike Middell 0.10), online filter for alerts (Robert Franke 0.15), rate data bank South Pole (0.1)</v>
      </c>
      <c r="Q95" s="238"/>
      <c r="R95" s="238"/>
      <c r="S95" s="238"/>
      <c r="T95" s="239"/>
      <c r="U95" s="211"/>
      <c r="V95" s="49"/>
      <c r="W95" s="85"/>
      <c r="X95" s="240"/>
      <c r="Y95" s="241"/>
      <c r="Z95" s="241"/>
      <c r="AA95" s="242"/>
      <c r="AB95" s="174"/>
      <c r="AC95" s="90"/>
      <c r="AD95" s="98"/>
      <c r="AE95" s="118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20"/>
      <c r="AQ95" s="99"/>
    </row>
    <row r="96" spans="1:43" ht="26.25" customHeight="1" hidden="1" outlineLevel="2" thickBot="1">
      <c r="A96" s="134"/>
      <c r="B96" s="134"/>
      <c r="C96" s="73"/>
      <c r="D96" s="16"/>
      <c r="E96" s="11"/>
      <c r="F96" s="25"/>
      <c r="G96" s="63"/>
      <c r="H96" s="294" t="s">
        <v>151</v>
      </c>
      <c r="I96" s="295"/>
      <c r="J96" s="295"/>
      <c r="K96" s="295"/>
      <c r="L96" s="296"/>
      <c r="M96" s="53"/>
      <c r="N96" s="60"/>
      <c r="O96" s="48"/>
      <c r="P96" s="227" t="str">
        <f>H96</f>
        <v>(5).Cascade reco (Middell, 0.1), IceTop calibration (Berghaus, 0.2)</v>
      </c>
      <c r="Q96" s="221"/>
      <c r="R96" s="221"/>
      <c r="S96" s="221"/>
      <c r="T96" s="222"/>
      <c r="U96" s="211"/>
      <c r="V96" s="49"/>
      <c r="W96" s="85"/>
      <c r="X96" s="243"/>
      <c r="Y96" s="244"/>
      <c r="Z96" s="244"/>
      <c r="AA96" s="245"/>
      <c r="AB96" s="174"/>
      <c r="AC96" s="90"/>
      <c r="AD96" s="98"/>
      <c r="AE96" s="118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20"/>
      <c r="AQ96" s="99"/>
    </row>
    <row r="97" spans="1:43" ht="34.5" customHeight="1" outlineLevel="1" collapsed="1" thickBot="1" thickTop="1">
      <c r="A97" s="131" t="s">
        <v>209</v>
      </c>
      <c r="B97" s="131" t="s">
        <v>124</v>
      </c>
      <c r="C97" s="71">
        <f>D97+E97</f>
        <v>3</v>
      </c>
      <c r="D97" s="14">
        <v>1</v>
      </c>
      <c r="E97" s="13">
        <v>2</v>
      </c>
      <c r="F97" s="23">
        <v>12</v>
      </c>
      <c r="G97" s="61"/>
      <c r="H97" s="145">
        <v>0.2</v>
      </c>
      <c r="I97" s="80">
        <v>0.09</v>
      </c>
      <c r="J97" s="80">
        <v>1.45</v>
      </c>
      <c r="K97" s="80">
        <v>0.3</v>
      </c>
      <c r="L97" s="146">
        <v>0.8</v>
      </c>
      <c r="M97" s="130">
        <f>SUM(H97:L97)</f>
        <v>2.84</v>
      </c>
      <c r="N97" s="60"/>
      <c r="O97" s="48"/>
      <c r="P97" s="145">
        <f aca="true" t="shared" si="14" ref="P97:T98">IF(H97=0,"",H97)</f>
        <v>0.2</v>
      </c>
      <c r="Q97" s="80">
        <f t="shared" si="14"/>
        <v>0.09</v>
      </c>
      <c r="R97" s="80">
        <f t="shared" si="14"/>
        <v>1.45</v>
      </c>
      <c r="S97" s="80">
        <f t="shared" si="14"/>
        <v>0.3</v>
      </c>
      <c r="T97" s="146">
        <f t="shared" si="14"/>
        <v>0.8</v>
      </c>
      <c r="U97" s="209">
        <f>SUM(P97:T97)</f>
        <v>2.84</v>
      </c>
      <c r="V97" s="49"/>
      <c r="W97" s="85"/>
      <c r="X97" s="166">
        <f>0.1</f>
        <v>0.1</v>
      </c>
      <c r="Y97" s="167">
        <f>0.1+0.015+0.1+0.1+0.15+0.15</f>
        <v>0.6150000000000001</v>
      </c>
      <c r="Z97" s="167">
        <f>0.03+0.15+0.3+0.15+0.45</f>
        <v>1.08</v>
      </c>
      <c r="AA97" s="168"/>
      <c r="AB97" s="169">
        <f>SUM(X97:AA97)</f>
        <v>1.7950000000000002</v>
      </c>
      <c r="AC97" s="90"/>
      <c r="AD97" s="98"/>
      <c r="AE97" s="118">
        <v>0.03</v>
      </c>
      <c r="AF97" s="119"/>
      <c r="AG97" s="119"/>
      <c r="AH97" s="119">
        <v>0.15</v>
      </c>
      <c r="AI97" s="119">
        <v>0.3</v>
      </c>
      <c r="AJ97" s="119"/>
      <c r="AK97" s="119">
        <v>0.15</v>
      </c>
      <c r="AL97" s="119">
        <v>0.2</v>
      </c>
      <c r="AM97" s="119">
        <v>0.25</v>
      </c>
      <c r="AN97" s="119"/>
      <c r="AO97" s="119"/>
      <c r="AP97" s="120">
        <f>SUM(AE97:AO97)</f>
        <v>1.08</v>
      </c>
      <c r="AQ97" s="99"/>
    </row>
    <row r="98" spans="1:43" ht="16.5" hidden="1" outlineLevel="2" thickBot="1">
      <c r="A98" s="132"/>
      <c r="B98" s="132"/>
      <c r="C98" s="72"/>
      <c r="D98" s="15"/>
      <c r="E98" s="10"/>
      <c r="F98" s="24"/>
      <c r="G98" s="62"/>
      <c r="H98" s="52" t="s">
        <v>9</v>
      </c>
      <c r="I98" s="1" t="s">
        <v>10</v>
      </c>
      <c r="J98" s="1" t="s">
        <v>11</v>
      </c>
      <c r="K98" s="1" t="s">
        <v>12</v>
      </c>
      <c r="L98" s="1" t="s">
        <v>13</v>
      </c>
      <c r="M98" s="5"/>
      <c r="N98" s="60"/>
      <c r="O98" s="48"/>
      <c r="P98" s="52" t="str">
        <f t="shared" si="14"/>
        <v>note 1</v>
      </c>
      <c r="Q98" s="1" t="str">
        <f t="shared" si="14"/>
        <v>note 2</v>
      </c>
      <c r="R98" s="1" t="str">
        <f t="shared" si="14"/>
        <v>note 3</v>
      </c>
      <c r="S98" s="1" t="str">
        <f t="shared" si="14"/>
        <v>note 4</v>
      </c>
      <c r="T98" s="2" t="str">
        <f t="shared" si="14"/>
        <v>note 5</v>
      </c>
      <c r="U98" s="210"/>
      <c r="V98" s="49"/>
      <c r="W98" s="85"/>
      <c r="X98" s="170"/>
      <c r="Y98" s="171"/>
      <c r="Z98" s="171" t="s">
        <v>75</v>
      </c>
      <c r="AA98" s="172"/>
      <c r="AB98" s="173"/>
      <c r="AC98" s="90"/>
      <c r="AD98" s="98"/>
      <c r="AE98" s="118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20"/>
      <c r="AQ98" s="99"/>
    </row>
    <row r="99" spans="1:43" ht="18" customHeight="1" hidden="1" outlineLevel="2">
      <c r="A99" s="132"/>
      <c r="B99" s="132"/>
      <c r="C99" s="72"/>
      <c r="D99" s="15"/>
      <c r="E99" s="10"/>
      <c r="F99" s="24"/>
      <c r="G99" s="62"/>
      <c r="H99" s="246" t="s">
        <v>15</v>
      </c>
      <c r="I99" s="247"/>
      <c r="J99" s="247"/>
      <c r="K99" s="247"/>
      <c r="L99" s="248"/>
      <c r="M99" s="53"/>
      <c r="N99" s="60"/>
      <c r="O99" s="48"/>
      <c r="P99" s="246" t="str">
        <f>H99</f>
        <v>(1). Coordinate BMBF funding (Wiebusch, 0.1); R&amp;D (acoustic, 0.1)</v>
      </c>
      <c r="Q99" s="247"/>
      <c r="R99" s="247"/>
      <c r="S99" s="247"/>
      <c r="T99" s="248"/>
      <c r="U99" s="211"/>
      <c r="V99" s="49"/>
      <c r="W99" s="85"/>
      <c r="X99" s="228" t="s">
        <v>82</v>
      </c>
      <c r="Y99" s="229"/>
      <c r="Z99" s="229"/>
      <c r="AA99" s="230"/>
      <c r="AB99" s="174"/>
      <c r="AC99" s="90"/>
      <c r="AD99" s="98"/>
      <c r="AE99" s="118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20"/>
      <c r="AQ99" s="99"/>
    </row>
    <row r="100" spans="1:43" ht="18" customHeight="1" hidden="1" outlineLevel="2">
      <c r="A100" s="133"/>
      <c r="B100" s="133"/>
      <c r="C100" s="72"/>
      <c r="D100" s="15"/>
      <c r="E100" s="10"/>
      <c r="F100" s="24"/>
      <c r="G100" s="62"/>
      <c r="H100" s="237" t="s">
        <v>104</v>
      </c>
      <c r="I100" s="238"/>
      <c r="J100" s="238"/>
      <c r="K100" s="238"/>
      <c r="L100" s="239"/>
      <c r="M100" s="53"/>
      <c r="N100" s="60"/>
      <c r="O100" s="48"/>
      <c r="P100" s="237" t="str">
        <f>H100</f>
        <v>(2). Monitoring (3 weeks)</v>
      </c>
      <c r="Q100" s="238"/>
      <c r="R100" s="238"/>
      <c r="S100" s="238"/>
      <c r="T100" s="239"/>
      <c r="U100" s="211"/>
      <c r="V100" s="49"/>
      <c r="W100" s="85"/>
      <c r="X100" s="224"/>
      <c r="Y100" s="225"/>
      <c r="Z100" s="225"/>
      <c r="AA100" s="226"/>
      <c r="AB100" s="174"/>
      <c r="AC100" s="90"/>
      <c r="AD100" s="98"/>
      <c r="AE100" s="118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20"/>
      <c r="AQ100" s="99"/>
    </row>
    <row r="101" spans="1:43" ht="27.75" customHeight="1" hidden="1" outlineLevel="2">
      <c r="A101" s="133"/>
      <c r="B101" s="133"/>
      <c r="C101" s="72"/>
      <c r="D101" s="15"/>
      <c r="E101" s="10"/>
      <c r="F101" s="24"/>
      <c r="G101" s="62"/>
      <c r="H101" s="237" t="s">
        <v>105</v>
      </c>
      <c r="I101" s="238"/>
      <c r="J101" s="238"/>
      <c r="K101" s="238"/>
      <c r="L101" s="239"/>
      <c r="M101" s="53"/>
      <c r="N101" s="60"/>
      <c r="O101" s="48"/>
      <c r="P101" s="237" t="str">
        <f>H101</f>
        <v>(3). Maintain reconstruction framework (0.25); sim. production on cluster/Grid (0.95), Photonics production (Schukraft 0.25)</v>
      </c>
      <c r="Q101" s="238"/>
      <c r="R101" s="238"/>
      <c r="S101" s="238"/>
      <c r="T101" s="239"/>
      <c r="U101" s="211"/>
      <c r="V101" s="49"/>
      <c r="W101" s="85"/>
      <c r="X101" s="224"/>
      <c r="Y101" s="225"/>
      <c r="Z101" s="225"/>
      <c r="AA101" s="226"/>
      <c r="AB101" s="174"/>
      <c r="AC101" s="90"/>
      <c r="AD101" s="98"/>
      <c r="AE101" s="118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20"/>
      <c r="AQ101" s="99"/>
    </row>
    <row r="102" spans="1:43" ht="15.75" hidden="1" outlineLevel="2">
      <c r="A102" s="133"/>
      <c r="B102" s="133"/>
      <c r="C102" s="72"/>
      <c r="D102" s="15"/>
      <c r="E102" s="10"/>
      <c r="F102" s="24"/>
      <c r="G102" s="62"/>
      <c r="H102" s="237" t="s">
        <v>106</v>
      </c>
      <c r="I102" s="238"/>
      <c r="J102" s="238"/>
      <c r="K102" s="238"/>
      <c r="L102" s="239"/>
      <c r="M102" s="53"/>
      <c r="N102" s="60"/>
      <c r="O102" s="48"/>
      <c r="P102" s="237" t="str">
        <f>H102</f>
        <v>(4). Downgoing starting filter (Huelss 0.15), Gal Cen Filter (Boersma 0.15)</v>
      </c>
      <c r="Q102" s="238"/>
      <c r="R102" s="238"/>
      <c r="S102" s="238"/>
      <c r="T102" s="239"/>
      <c r="U102" s="211"/>
      <c r="V102" s="49"/>
      <c r="W102" s="85"/>
      <c r="X102" s="240"/>
      <c r="Y102" s="241"/>
      <c r="Z102" s="241"/>
      <c r="AA102" s="242"/>
      <c r="AB102" s="174"/>
      <c r="AC102" s="90"/>
      <c r="AD102" s="98"/>
      <c r="AE102" s="118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20"/>
      <c r="AQ102" s="99"/>
    </row>
    <row r="103" spans="1:43" ht="15.75" customHeight="1" hidden="1" outlineLevel="2" thickBot="1">
      <c r="A103" s="134"/>
      <c r="B103" s="134"/>
      <c r="C103" s="73"/>
      <c r="D103" s="16"/>
      <c r="E103" s="11"/>
      <c r="F103" s="25"/>
      <c r="G103" s="63"/>
      <c r="H103" s="281" t="s">
        <v>107</v>
      </c>
      <c r="I103" s="282"/>
      <c r="J103" s="282"/>
      <c r="K103" s="282"/>
      <c r="L103" s="283"/>
      <c r="M103" s="53"/>
      <c r="N103" s="60"/>
      <c r="O103" s="48"/>
      <c r="P103" s="281" t="str">
        <f>H103</f>
        <v>(5) New feature extractor (Wallraff 0.5), Recosnstruction software (0.3)</v>
      </c>
      <c r="Q103" s="282"/>
      <c r="R103" s="282"/>
      <c r="S103" s="282"/>
      <c r="T103" s="283"/>
      <c r="U103" s="211"/>
      <c r="V103" s="49"/>
      <c r="W103" s="85"/>
      <c r="X103" s="257"/>
      <c r="Y103" s="258"/>
      <c r="Z103" s="258"/>
      <c r="AA103" s="259"/>
      <c r="AB103" s="174"/>
      <c r="AC103" s="90"/>
      <c r="AD103" s="98"/>
      <c r="AE103" s="118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20"/>
      <c r="AQ103" s="99"/>
    </row>
    <row r="104" spans="1:43" ht="34.5" customHeight="1" outlineLevel="1" collapsed="1" thickBot="1" thickTop="1">
      <c r="A104" s="131" t="s">
        <v>209</v>
      </c>
      <c r="B104" s="131" t="s">
        <v>127</v>
      </c>
      <c r="C104" s="71">
        <f>D104+E104</f>
        <v>1</v>
      </c>
      <c r="D104" s="14">
        <v>1</v>
      </c>
      <c r="E104" s="13">
        <v>0</v>
      </c>
      <c r="F104" s="23">
        <v>4</v>
      </c>
      <c r="G104" s="61"/>
      <c r="H104" s="145"/>
      <c r="I104" s="80">
        <v>0.03</v>
      </c>
      <c r="J104" s="80">
        <v>0.65</v>
      </c>
      <c r="K104" s="80"/>
      <c r="L104" s="146"/>
      <c r="M104" s="130">
        <f>SUM(H104:L104)</f>
        <v>0.68</v>
      </c>
      <c r="N104" s="60"/>
      <c r="O104" s="48"/>
      <c r="P104" s="145">
        <f>IF(H104=0,"",H104)</f>
      </c>
      <c r="Q104" s="80">
        <f>IF(I104=0,"",I104)</f>
        <v>0.03</v>
      </c>
      <c r="R104" s="80">
        <f>IF(J104=0,"",J104)</f>
        <v>0.65</v>
      </c>
      <c r="S104" s="80">
        <f>IF(K104=0,"",K104)</f>
      </c>
      <c r="T104" s="146">
        <f>IF(L104=0,"",L104)</f>
      </c>
      <c r="U104" s="209">
        <f>SUM(P104:T104)</f>
        <v>0.68</v>
      </c>
      <c r="V104" s="49"/>
      <c r="W104" s="85"/>
      <c r="X104" s="166">
        <v>0.25</v>
      </c>
      <c r="Y104" s="167"/>
      <c r="Z104" s="167">
        <f>0.03+0.4</f>
        <v>0.43000000000000005</v>
      </c>
      <c r="AA104" s="168"/>
      <c r="AB104" s="169">
        <f>SUM(X104:AA104)</f>
        <v>0.68</v>
      </c>
      <c r="AC104" s="90"/>
      <c r="AD104" s="98"/>
      <c r="AE104" s="118">
        <v>0.03</v>
      </c>
      <c r="AF104" s="119"/>
      <c r="AG104" s="119"/>
      <c r="AH104" s="119"/>
      <c r="AI104" s="119">
        <v>0.4</v>
      </c>
      <c r="AJ104" s="119"/>
      <c r="AK104" s="119"/>
      <c r="AL104" s="119"/>
      <c r="AM104" s="119"/>
      <c r="AN104" s="119"/>
      <c r="AO104" s="119"/>
      <c r="AP104" s="120">
        <f>SUM(AE104:AO104)</f>
        <v>0.43000000000000005</v>
      </c>
      <c r="AQ104" s="99"/>
    </row>
    <row r="105" spans="1:43" ht="16.5" hidden="1" outlineLevel="2" thickBot="1">
      <c r="A105" s="132"/>
      <c r="B105" s="132"/>
      <c r="C105" s="72"/>
      <c r="D105" s="15"/>
      <c r="E105" s="10"/>
      <c r="F105" s="24"/>
      <c r="G105" s="62"/>
      <c r="H105" s="52"/>
      <c r="I105" s="1" t="s">
        <v>9</v>
      </c>
      <c r="J105" s="1" t="s">
        <v>10</v>
      </c>
      <c r="K105" s="1"/>
      <c r="L105" s="2"/>
      <c r="M105" s="5"/>
      <c r="N105" s="60"/>
      <c r="O105" s="48"/>
      <c r="P105" s="52"/>
      <c r="Q105" s="1" t="s">
        <v>9</v>
      </c>
      <c r="R105" s="1" t="s">
        <v>10</v>
      </c>
      <c r="S105" s="1"/>
      <c r="T105" s="2"/>
      <c r="U105" s="210"/>
      <c r="V105" s="49"/>
      <c r="W105" s="85"/>
      <c r="X105" s="170"/>
      <c r="Y105" s="171"/>
      <c r="Z105" s="171" t="s">
        <v>75</v>
      </c>
      <c r="AA105" s="172"/>
      <c r="AB105" s="173"/>
      <c r="AC105" s="90"/>
      <c r="AD105" s="98"/>
      <c r="AE105" s="118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20"/>
      <c r="AQ105" s="99"/>
    </row>
    <row r="106" spans="1:43" ht="15.75" customHeight="1" hidden="1" outlineLevel="2">
      <c r="A106" s="132"/>
      <c r="B106" s="132"/>
      <c r="C106" s="72"/>
      <c r="D106" s="15"/>
      <c r="E106" s="10"/>
      <c r="F106" s="24"/>
      <c r="G106" s="62"/>
      <c r="H106" s="246" t="s">
        <v>22</v>
      </c>
      <c r="I106" s="247"/>
      <c r="J106" s="247"/>
      <c r="K106" s="247"/>
      <c r="L106" s="248"/>
      <c r="M106" s="53"/>
      <c r="N106" s="60"/>
      <c r="O106" s="48"/>
      <c r="P106" s="246" t="str">
        <f>H106</f>
        <v>(1). Monitoring</v>
      </c>
      <c r="Q106" s="247"/>
      <c r="R106" s="247"/>
      <c r="S106" s="247"/>
      <c r="T106" s="248"/>
      <c r="U106" s="211"/>
      <c r="V106" s="49"/>
      <c r="W106" s="85"/>
      <c r="X106" s="231" t="s">
        <v>85</v>
      </c>
      <c r="Y106" s="232"/>
      <c r="Z106" s="232"/>
      <c r="AA106" s="233"/>
      <c r="AB106" s="174"/>
      <c r="AC106" s="90"/>
      <c r="AD106" s="98"/>
      <c r="AE106" s="118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20"/>
      <c r="AQ106" s="99"/>
    </row>
    <row r="107" spans="1:43" ht="31.5" customHeight="1" hidden="1" outlineLevel="2">
      <c r="A107" s="133"/>
      <c r="B107" s="133"/>
      <c r="C107" s="72"/>
      <c r="D107" s="15"/>
      <c r="E107" s="10"/>
      <c r="F107" s="24"/>
      <c r="G107" s="62"/>
      <c r="H107" s="237" t="s">
        <v>26</v>
      </c>
      <c r="I107" s="238"/>
      <c r="J107" s="238"/>
      <c r="K107" s="238"/>
      <c r="L107" s="239"/>
      <c r="M107" s="53"/>
      <c r="N107" s="60"/>
      <c r="O107" s="48"/>
      <c r="P107" s="237" t="str">
        <f>H107</f>
        <v>(2). Coordinate GRID computing in Germany (D. Pieloth, 0.25); sim-production, 0.4</v>
      </c>
      <c r="Q107" s="238"/>
      <c r="R107" s="238"/>
      <c r="S107" s="238"/>
      <c r="T107" s="239"/>
      <c r="U107" s="211"/>
      <c r="V107" s="49"/>
      <c r="W107" s="85"/>
      <c r="X107" s="240"/>
      <c r="Y107" s="241"/>
      <c r="Z107" s="241"/>
      <c r="AA107" s="242"/>
      <c r="AB107" s="174"/>
      <c r="AC107" s="90"/>
      <c r="AD107" s="98"/>
      <c r="AE107" s="118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20"/>
      <c r="AQ107" s="99"/>
    </row>
    <row r="108" spans="1:43" ht="9" customHeight="1" hidden="1" outlineLevel="2" thickBot="1">
      <c r="A108" s="134"/>
      <c r="B108" s="134"/>
      <c r="C108" s="73"/>
      <c r="D108" s="16"/>
      <c r="E108" s="11"/>
      <c r="F108" s="25"/>
      <c r="G108" s="63"/>
      <c r="H108" s="234"/>
      <c r="I108" s="235"/>
      <c r="J108" s="235"/>
      <c r="K108" s="235"/>
      <c r="L108" s="236"/>
      <c r="M108" s="53"/>
      <c r="N108" s="60"/>
      <c r="O108" s="48"/>
      <c r="P108" s="234"/>
      <c r="Q108" s="235"/>
      <c r="R108" s="235"/>
      <c r="S108" s="235"/>
      <c r="T108" s="236"/>
      <c r="U108" s="211"/>
      <c r="V108" s="49"/>
      <c r="W108" s="85"/>
      <c r="X108" s="223"/>
      <c r="Y108" s="249"/>
      <c r="Z108" s="249"/>
      <c r="AA108" s="250"/>
      <c r="AB108" s="174"/>
      <c r="AC108" s="90"/>
      <c r="AD108" s="98"/>
      <c r="AE108" s="118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20"/>
      <c r="AQ108" s="99"/>
    </row>
    <row r="109" spans="1:43" ht="34.5" customHeight="1" outlineLevel="1" collapsed="1" thickBot="1" thickTop="1">
      <c r="A109" s="131" t="s">
        <v>209</v>
      </c>
      <c r="B109" s="131" t="s">
        <v>128</v>
      </c>
      <c r="C109" s="71">
        <f>D109+E109</f>
        <v>1</v>
      </c>
      <c r="D109" s="14">
        <v>1</v>
      </c>
      <c r="E109" s="13">
        <v>0</v>
      </c>
      <c r="F109" s="23">
        <v>7</v>
      </c>
      <c r="G109" s="61"/>
      <c r="H109" s="145">
        <v>0.15</v>
      </c>
      <c r="I109" s="80">
        <v>1</v>
      </c>
      <c r="J109" s="80">
        <v>0.45</v>
      </c>
      <c r="K109" s="80"/>
      <c r="L109" s="146">
        <v>0.2</v>
      </c>
      <c r="M109" s="130">
        <f>SUM(H109:L109)</f>
        <v>1.7999999999999998</v>
      </c>
      <c r="N109" s="60"/>
      <c r="O109" s="48"/>
      <c r="P109" s="145">
        <f aca="true" t="shared" si="15" ref="P109:T110">IF(H109=0,"",H109)</f>
        <v>0.15</v>
      </c>
      <c r="Q109" s="80">
        <f t="shared" si="15"/>
        <v>1</v>
      </c>
      <c r="R109" s="80">
        <f t="shared" si="15"/>
        <v>0.45</v>
      </c>
      <c r="S109" s="80">
        <f t="shared" si="15"/>
      </c>
      <c r="T109" s="146">
        <f t="shared" si="15"/>
        <v>0.2</v>
      </c>
      <c r="U109" s="209">
        <f>SUM(P109:T109)</f>
        <v>1.7999999999999998</v>
      </c>
      <c r="V109" s="49"/>
      <c r="W109" s="85"/>
      <c r="X109" s="166">
        <v>0.15</v>
      </c>
      <c r="Y109" s="167"/>
      <c r="Z109" s="167">
        <f>1.51-0.15</f>
        <v>1.36</v>
      </c>
      <c r="AA109" s="168"/>
      <c r="AB109" s="169">
        <f>SUM(X109:AA109)</f>
        <v>1.51</v>
      </c>
      <c r="AC109" s="90"/>
      <c r="AD109" s="98"/>
      <c r="AE109" s="118">
        <v>0.06</v>
      </c>
      <c r="AF109" s="119"/>
      <c r="AG109" s="119">
        <v>0.7</v>
      </c>
      <c r="AH109" s="119"/>
      <c r="AI109" s="119">
        <v>0.4</v>
      </c>
      <c r="AJ109" s="119"/>
      <c r="AK109" s="119"/>
      <c r="AL109" s="119">
        <v>0.2</v>
      </c>
      <c r="AM109" s="119"/>
      <c r="AN109" s="119"/>
      <c r="AO109" s="119"/>
      <c r="AP109" s="120">
        <f>SUM(AE109:AO109)</f>
        <v>1.36</v>
      </c>
      <c r="AQ109" s="99"/>
    </row>
    <row r="110" spans="1:43" ht="16.5" hidden="1" outlineLevel="2" thickBot="1">
      <c r="A110" s="132"/>
      <c r="B110" s="132"/>
      <c r="C110" s="72"/>
      <c r="D110" s="15"/>
      <c r="E110" s="10"/>
      <c r="F110" s="24"/>
      <c r="G110" s="62"/>
      <c r="H110" s="52" t="s">
        <v>9</v>
      </c>
      <c r="I110" s="1" t="s">
        <v>10</v>
      </c>
      <c r="J110" s="1" t="s">
        <v>11</v>
      </c>
      <c r="K110" s="1"/>
      <c r="L110" s="2" t="s">
        <v>12</v>
      </c>
      <c r="M110" s="5"/>
      <c r="N110" s="60"/>
      <c r="O110" s="48"/>
      <c r="P110" s="52" t="str">
        <f t="shared" si="15"/>
        <v>note 1</v>
      </c>
      <c r="Q110" s="1" t="str">
        <f t="shared" si="15"/>
        <v>note 2</v>
      </c>
      <c r="R110" s="1" t="str">
        <f t="shared" si="15"/>
        <v>note 3</v>
      </c>
      <c r="S110" s="1">
        <f t="shared" si="15"/>
      </c>
      <c r="T110" s="2" t="str">
        <f t="shared" si="15"/>
        <v>note 4</v>
      </c>
      <c r="U110" s="210"/>
      <c r="V110" s="49"/>
      <c r="W110" s="85"/>
      <c r="X110" s="170"/>
      <c r="Y110" s="171"/>
      <c r="Z110" s="171" t="s">
        <v>75</v>
      </c>
      <c r="AA110" s="172"/>
      <c r="AB110" s="173"/>
      <c r="AC110" s="90"/>
      <c r="AD110" s="98"/>
      <c r="AE110" s="118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20"/>
      <c r="AQ110" s="99"/>
    </row>
    <row r="111" spans="1:43" ht="15.75" customHeight="1" hidden="1" outlineLevel="2">
      <c r="A111" s="132"/>
      <c r="B111" s="132"/>
      <c r="C111" s="72"/>
      <c r="D111" s="15"/>
      <c r="E111" s="10"/>
      <c r="F111" s="24"/>
      <c r="G111" s="62"/>
      <c r="H111" s="246" t="s">
        <v>16</v>
      </c>
      <c r="I111" s="247"/>
      <c r="J111" s="247"/>
      <c r="K111" s="247"/>
      <c r="L111" s="248"/>
      <c r="M111" s="53"/>
      <c r="N111" s="60"/>
      <c r="O111" s="48"/>
      <c r="P111" s="246" t="str">
        <f>H111</f>
        <v>(1). (ExecCom member)</v>
      </c>
      <c r="Q111" s="247"/>
      <c r="R111" s="247"/>
      <c r="S111" s="247"/>
      <c r="T111" s="248"/>
      <c r="U111" s="211"/>
      <c r="V111" s="49"/>
      <c r="W111" s="85"/>
      <c r="X111" s="231" t="s">
        <v>86</v>
      </c>
      <c r="Y111" s="232"/>
      <c r="Z111" s="232"/>
      <c r="AA111" s="233"/>
      <c r="AB111" s="174"/>
      <c r="AC111" s="90"/>
      <c r="AD111" s="98"/>
      <c r="AE111" s="118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20"/>
      <c r="AQ111" s="99"/>
    </row>
    <row r="112" spans="1:43" ht="42" customHeight="1" hidden="1" outlineLevel="2">
      <c r="A112" s="133"/>
      <c r="B112" s="133"/>
      <c r="C112" s="72"/>
      <c r="D112" s="15"/>
      <c r="E112" s="10"/>
      <c r="F112" s="24"/>
      <c r="G112" s="62"/>
      <c r="H112" s="237" t="s">
        <v>171</v>
      </c>
      <c r="I112" s="238"/>
      <c r="J112" s="238"/>
      <c r="K112" s="238"/>
      <c r="L112" s="239"/>
      <c r="M112" s="53"/>
      <c r="N112" s="60"/>
      <c r="O112" s="48"/>
      <c r="P112" s="237" t="str">
        <f>H112</f>
        <v>(2). SN operations 0.5 + 0.2   (0.5 Gösta and 0.2 Florian, Monitoring ), 0.3M, (M=monitoring includes grad student to UCB 4 weeks to work with Filimonov)</v>
      </c>
      <c r="Q112" s="238"/>
      <c r="R112" s="238"/>
      <c r="S112" s="238"/>
      <c r="T112" s="239"/>
      <c r="U112" s="211"/>
      <c r="V112" s="49"/>
      <c r="W112" s="85"/>
      <c r="X112" s="240"/>
      <c r="Y112" s="241"/>
      <c r="Z112" s="241"/>
      <c r="AA112" s="242"/>
      <c r="AB112" s="174"/>
      <c r="AC112" s="90"/>
      <c r="AD112" s="98"/>
      <c r="AE112" s="118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20"/>
      <c r="AQ112" s="99"/>
    </row>
    <row r="113" spans="1:43" ht="15.75" customHeight="1" hidden="1" outlineLevel="2">
      <c r="A113" s="133"/>
      <c r="B113" s="133"/>
      <c r="C113" s="72"/>
      <c r="D113" s="15"/>
      <c r="E113" s="10"/>
      <c r="F113" s="24"/>
      <c r="G113" s="62"/>
      <c r="H113" s="237" t="s">
        <v>17</v>
      </c>
      <c r="I113" s="238"/>
      <c r="J113" s="238"/>
      <c r="K113" s="238"/>
      <c r="L113" s="239"/>
      <c r="M113" s="53"/>
      <c r="N113" s="60"/>
      <c r="O113" s="48"/>
      <c r="P113" s="237" t="str">
        <f>H113</f>
        <v>(3). Simulation production</v>
      </c>
      <c r="Q113" s="238"/>
      <c r="R113" s="238"/>
      <c r="S113" s="238"/>
      <c r="T113" s="239"/>
      <c r="U113" s="211"/>
      <c r="V113" s="49"/>
      <c r="W113" s="85"/>
      <c r="X113" s="240"/>
      <c r="Y113" s="241"/>
      <c r="Z113" s="241"/>
      <c r="AA113" s="242"/>
      <c r="AB113" s="174"/>
      <c r="AC113" s="90"/>
      <c r="AD113" s="98"/>
      <c r="AE113" s="118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20"/>
      <c r="AQ113" s="99"/>
    </row>
    <row r="114" spans="1:43" ht="18.75" customHeight="1" hidden="1" outlineLevel="2" thickBot="1">
      <c r="A114" s="134"/>
      <c r="B114" s="134"/>
      <c r="C114" s="73"/>
      <c r="D114" s="16"/>
      <c r="E114" s="11"/>
      <c r="F114" s="25"/>
      <c r="G114" s="63"/>
      <c r="H114" s="227" t="s">
        <v>33</v>
      </c>
      <c r="I114" s="221"/>
      <c r="J114" s="221"/>
      <c r="K114" s="221"/>
      <c r="L114" s="222"/>
      <c r="M114" s="53"/>
      <c r="N114" s="60"/>
      <c r="O114" s="48"/>
      <c r="P114" s="227" t="str">
        <f>H114</f>
        <v>(4). Reconstruction tools </v>
      </c>
      <c r="Q114" s="221"/>
      <c r="R114" s="221"/>
      <c r="S114" s="221"/>
      <c r="T114" s="222"/>
      <c r="U114" s="211"/>
      <c r="V114" s="49"/>
      <c r="W114" s="85"/>
      <c r="X114" s="243"/>
      <c r="Y114" s="244"/>
      <c r="Z114" s="244"/>
      <c r="AA114" s="245"/>
      <c r="AB114" s="174"/>
      <c r="AC114" s="90"/>
      <c r="AD114" s="98"/>
      <c r="AE114" s="118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20"/>
      <c r="AQ114" s="99"/>
    </row>
    <row r="115" spans="1:43" ht="34.5" customHeight="1" outlineLevel="1" collapsed="1" thickBot="1" thickTop="1">
      <c r="A115" s="131" t="s">
        <v>209</v>
      </c>
      <c r="B115" s="131" t="s">
        <v>129</v>
      </c>
      <c r="C115" s="71">
        <f>D115+E115</f>
        <v>3</v>
      </c>
      <c r="D115" s="14">
        <v>2</v>
      </c>
      <c r="E115" s="13">
        <v>1</v>
      </c>
      <c r="F115" s="23">
        <v>7</v>
      </c>
      <c r="G115" s="61"/>
      <c r="H115" s="145">
        <v>0.4</v>
      </c>
      <c r="I115" s="80">
        <v>0.6</v>
      </c>
      <c r="J115" s="80">
        <v>0.4</v>
      </c>
      <c r="K115" s="80">
        <v>0.2</v>
      </c>
      <c r="L115" s="146">
        <v>0.5</v>
      </c>
      <c r="M115" s="130">
        <f>SUM(H115:L115)</f>
        <v>2.0999999999999996</v>
      </c>
      <c r="N115" s="60"/>
      <c r="O115" s="48"/>
      <c r="P115" s="145">
        <f aca="true" t="shared" si="16" ref="P115:T116">IF(H115=0,"",H115)</f>
        <v>0.4</v>
      </c>
      <c r="Q115" s="80">
        <f t="shared" si="16"/>
        <v>0.6</v>
      </c>
      <c r="R115" s="80">
        <f t="shared" si="16"/>
        <v>0.4</v>
      </c>
      <c r="S115" s="80">
        <f t="shared" si="16"/>
        <v>0.2</v>
      </c>
      <c r="T115" s="146">
        <f t="shared" si="16"/>
        <v>0.5</v>
      </c>
      <c r="U115" s="209">
        <f>SUM(P115:T115)</f>
        <v>2.0999999999999996</v>
      </c>
      <c r="V115" s="49"/>
      <c r="W115" s="85"/>
      <c r="X115" s="166">
        <v>0.3</v>
      </c>
      <c r="Y115" s="167">
        <v>0.2</v>
      </c>
      <c r="Z115" s="167">
        <f>0.15+0.96</f>
        <v>1.1099999999999999</v>
      </c>
      <c r="AA115" s="168"/>
      <c r="AB115" s="169">
        <f>SUM(X115:AA115)</f>
        <v>1.6099999999999999</v>
      </c>
      <c r="AC115" s="90"/>
      <c r="AD115" s="98"/>
      <c r="AE115" s="118">
        <v>0.06</v>
      </c>
      <c r="AF115" s="119"/>
      <c r="AG115" s="119"/>
      <c r="AH115" s="119"/>
      <c r="AI115" s="119">
        <v>0.4</v>
      </c>
      <c r="AJ115" s="119"/>
      <c r="AK115" s="119">
        <v>0.15</v>
      </c>
      <c r="AL115" s="119">
        <v>0.2</v>
      </c>
      <c r="AM115" s="119">
        <v>0.2</v>
      </c>
      <c r="AN115" s="119"/>
      <c r="AO115" s="119">
        <v>0.1</v>
      </c>
      <c r="AP115" s="120">
        <f>SUM(AE115:AO115)</f>
        <v>1.11</v>
      </c>
      <c r="AQ115" s="99"/>
    </row>
    <row r="116" spans="1:43" ht="16.5" hidden="1" outlineLevel="2" thickBot="1">
      <c r="A116" s="132"/>
      <c r="B116" s="132"/>
      <c r="C116" s="72"/>
      <c r="D116" s="15"/>
      <c r="E116" s="10"/>
      <c r="F116" s="24"/>
      <c r="G116" s="62"/>
      <c r="H116" s="52" t="s">
        <v>9</v>
      </c>
      <c r="I116" s="1" t="s">
        <v>10</v>
      </c>
      <c r="J116" s="1" t="s">
        <v>11</v>
      </c>
      <c r="K116" s="1" t="s">
        <v>12</v>
      </c>
      <c r="L116" s="2" t="s">
        <v>13</v>
      </c>
      <c r="M116" s="5"/>
      <c r="N116" s="60"/>
      <c r="O116" s="48"/>
      <c r="P116" s="52" t="str">
        <f t="shared" si="16"/>
        <v>note 1</v>
      </c>
      <c r="Q116" s="1" t="str">
        <f t="shared" si="16"/>
        <v>note 2</v>
      </c>
      <c r="R116" s="1" t="str">
        <f t="shared" si="16"/>
        <v>note 3</v>
      </c>
      <c r="S116" s="1" t="str">
        <f t="shared" si="16"/>
        <v>note 4</v>
      </c>
      <c r="T116" s="2" t="str">
        <f t="shared" si="16"/>
        <v>note 5</v>
      </c>
      <c r="U116" s="210"/>
      <c r="V116" s="49"/>
      <c r="W116" s="85"/>
      <c r="X116" s="170"/>
      <c r="Y116" s="171"/>
      <c r="Z116" s="171" t="s">
        <v>75</v>
      </c>
      <c r="AA116" s="172"/>
      <c r="AB116" s="173"/>
      <c r="AC116" s="90"/>
      <c r="AD116" s="98"/>
      <c r="AE116" s="118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20"/>
      <c r="AQ116" s="99"/>
    </row>
    <row r="117" spans="1:43" ht="22.5" customHeight="1" hidden="1" outlineLevel="2">
      <c r="A117" s="132"/>
      <c r="B117" s="132"/>
      <c r="C117" s="72"/>
      <c r="D117" s="15"/>
      <c r="E117" s="10"/>
      <c r="F117" s="24"/>
      <c r="G117" s="62"/>
      <c r="H117" s="246">
        <f>$B$209</f>
        <v>0</v>
      </c>
      <c r="I117" s="247"/>
      <c r="J117" s="247"/>
      <c r="K117" s="247"/>
      <c r="L117" s="248"/>
      <c r="M117" s="53"/>
      <c r="N117" s="60"/>
      <c r="O117" s="48"/>
      <c r="P117" s="246">
        <f>H117</f>
        <v>0</v>
      </c>
      <c r="Q117" s="247"/>
      <c r="R117" s="247"/>
      <c r="S117" s="247"/>
      <c r="T117" s="248"/>
      <c r="U117" s="211"/>
      <c r="V117" s="49"/>
      <c r="W117" s="85"/>
      <c r="X117" s="228" t="s">
        <v>87</v>
      </c>
      <c r="Y117" s="229"/>
      <c r="Z117" s="229"/>
      <c r="AA117" s="230"/>
      <c r="AB117" s="174"/>
      <c r="AC117" s="90"/>
      <c r="AD117" s="98"/>
      <c r="AE117" s="118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20"/>
      <c r="AQ117" s="99"/>
    </row>
    <row r="118" spans="1:43" ht="22.5" customHeight="1" hidden="1" outlineLevel="2">
      <c r="A118" s="133"/>
      <c r="B118" s="133"/>
      <c r="C118" s="72"/>
      <c r="D118" s="15"/>
      <c r="E118" s="10"/>
      <c r="F118" s="24"/>
      <c r="G118" s="62"/>
      <c r="H118" s="237">
        <f>$B$210</f>
        <v>0</v>
      </c>
      <c r="I118" s="238"/>
      <c r="J118" s="238"/>
      <c r="K118" s="238"/>
      <c r="L118" s="239"/>
      <c r="M118" s="53"/>
      <c r="N118" s="60"/>
      <c r="O118" s="48"/>
      <c r="P118" s="237">
        <f>H118</f>
        <v>0</v>
      </c>
      <c r="Q118" s="238"/>
      <c r="R118" s="238"/>
      <c r="S118" s="238"/>
      <c r="T118" s="239"/>
      <c r="U118" s="211"/>
      <c r="V118" s="49"/>
      <c r="W118" s="85"/>
      <c r="X118" s="224"/>
      <c r="Y118" s="225"/>
      <c r="Z118" s="225"/>
      <c r="AA118" s="226"/>
      <c r="AB118" s="174"/>
      <c r="AC118" s="90"/>
      <c r="AD118" s="98"/>
      <c r="AE118" s="118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20"/>
      <c r="AQ118" s="99"/>
    </row>
    <row r="119" spans="1:43" ht="22.5" customHeight="1" hidden="1" outlineLevel="2">
      <c r="A119" s="133"/>
      <c r="B119" s="133"/>
      <c r="C119" s="72"/>
      <c r="D119" s="15"/>
      <c r="E119" s="10"/>
      <c r="F119" s="24"/>
      <c r="G119" s="62"/>
      <c r="H119" s="237">
        <f>$B$211</f>
        <v>0</v>
      </c>
      <c r="I119" s="238"/>
      <c r="J119" s="238"/>
      <c r="K119" s="238"/>
      <c r="L119" s="239"/>
      <c r="M119" s="53"/>
      <c r="N119" s="60"/>
      <c r="O119" s="48"/>
      <c r="P119" s="237">
        <f>H119</f>
        <v>0</v>
      </c>
      <c r="Q119" s="238"/>
      <c r="R119" s="238"/>
      <c r="S119" s="238"/>
      <c r="T119" s="239"/>
      <c r="U119" s="211"/>
      <c r="V119" s="49"/>
      <c r="W119" s="85"/>
      <c r="X119" s="224"/>
      <c r="Y119" s="225"/>
      <c r="Z119" s="225"/>
      <c r="AA119" s="226"/>
      <c r="AB119" s="174"/>
      <c r="AC119" s="90"/>
      <c r="AD119" s="98"/>
      <c r="AE119" s="118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20"/>
      <c r="AQ119" s="99"/>
    </row>
    <row r="120" spans="1:43" ht="22.5" customHeight="1" hidden="1" outlineLevel="2">
      <c r="A120" s="133"/>
      <c r="B120" s="133"/>
      <c r="C120" s="72"/>
      <c r="D120" s="15"/>
      <c r="E120" s="10"/>
      <c r="F120" s="24"/>
      <c r="G120" s="62"/>
      <c r="H120" s="237">
        <f>$B$212</f>
        <v>0</v>
      </c>
      <c r="I120" s="238"/>
      <c r="J120" s="238"/>
      <c r="K120" s="238"/>
      <c r="L120" s="239"/>
      <c r="M120" s="53"/>
      <c r="N120" s="60"/>
      <c r="O120" s="48"/>
      <c r="P120" s="237">
        <f>H120</f>
        <v>0</v>
      </c>
      <c r="Q120" s="238"/>
      <c r="R120" s="238"/>
      <c r="S120" s="238"/>
      <c r="T120" s="239"/>
      <c r="U120" s="211"/>
      <c r="V120" s="49"/>
      <c r="W120" s="85"/>
      <c r="X120" s="240"/>
      <c r="Y120" s="241"/>
      <c r="Z120" s="241"/>
      <c r="AA120" s="242"/>
      <c r="AB120" s="174"/>
      <c r="AC120" s="90"/>
      <c r="AD120" s="98"/>
      <c r="AE120" s="118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20"/>
      <c r="AQ120" s="99"/>
    </row>
    <row r="121" spans="1:43" ht="30.75" customHeight="1" hidden="1" outlineLevel="2" thickBot="1">
      <c r="A121" s="134"/>
      <c r="B121" s="134"/>
      <c r="C121" s="73"/>
      <c r="D121" s="16"/>
      <c r="E121" s="11"/>
      <c r="F121" s="25"/>
      <c r="G121" s="63"/>
      <c r="H121" s="227">
        <f>$B$213</f>
        <v>0</v>
      </c>
      <c r="I121" s="221"/>
      <c r="J121" s="221"/>
      <c r="K121" s="221"/>
      <c r="L121" s="222"/>
      <c r="M121" s="53"/>
      <c r="N121" s="60"/>
      <c r="O121" s="48"/>
      <c r="P121" s="227">
        <f>H121</f>
        <v>0</v>
      </c>
      <c r="Q121" s="221"/>
      <c r="R121" s="221"/>
      <c r="S121" s="221"/>
      <c r="T121" s="222"/>
      <c r="U121" s="211"/>
      <c r="V121" s="49"/>
      <c r="W121" s="85"/>
      <c r="X121" s="243"/>
      <c r="Y121" s="244"/>
      <c r="Z121" s="244"/>
      <c r="AA121" s="245"/>
      <c r="AB121" s="174"/>
      <c r="AC121" s="90"/>
      <c r="AD121" s="98"/>
      <c r="AE121" s="118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20"/>
      <c r="AQ121" s="99"/>
    </row>
    <row r="122" spans="1:43" ht="33.75" customHeight="1" outlineLevel="1" collapsed="1" thickBot="1" thickTop="1">
      <c r="A122" s="131" t="s">
        <v>214</v>
      </c>
      <c r="B122" s="131" t="s">
        <v>131</v>
      </c>
      <c r="C122" s="71">
        <f>D122+E122</f>
        <v>2</v>
      </c>
      <c r="D122" s="14">
        <v>1</v>
      </c>
      <c r="E122" s="13">
        <v>1</v>
      </c>
      <c r="F122" s="23">
        <v>3</v>
      </c>
      <c r="G122" s="61"/>
      <c r="H122" s="145">
        <v>0.5</v>
      </c>
      <c r="I122" s="80">
        <v>0.045</v>
      </c>
      <c r="J122" s="80"/>
      <c r="K122" s="80"/>
      <c r="L122" s="146">
        <v>0.6</v>
      </c>
      <c r="M122" s="130">
        <f>SUM(H122:L122)</f>
        <v>1.145</v>
      </c>
      <c r="N122" s="60"/>
      <c r="O122" s="48"/>
      <c r="P122" s="145">
        <f aca="true" t="shared" si="17" ref="P122:T124">IF(H122=0,"",H122)</f>
        <v>0.5</v>
      </c>
      <c r="Q122" s="80">
        <f t="shared" si="17"/>
        <v>0.045</v>
      </c>
      <c r="R122" s="80">
        <f t="shared" si="17"/>
      </c>
      <c r="S122" s="80">
        <f t="shared" si="17"/>
      </c>
      <c r="T122" s="146">
        <f t="shared" si="17"/>
        <v>0.6</v>
      </c>
      <c r="U122" s="209">
        <f>SUM(P122:T122)</f>
        <v>1.145</v>
      </c>
      <c r="V122" s="49"/>
      <c r="W122" s="85"/>
      <c r="X122" s="166">
        <v>0.5</v>
      </c>
      <c r="Y122" s="185">
        <v>0.7</v>
      </c>
      <c r="Z122" s="167">
        <v>0.145</v>
      </c>
      <c r="AA122" s="168"/>
      <c r="AB122" s="169">
        <f>SUM(X122:AA122)</f>
        <v>1.345</v>
      </c>
      <c r="AC122" s="90"/>
      <c r="AD122" s="98"/>
      <c r="AE122" s="118">
        <v>0.045</v>
      </c>
      <c r="AF122" s="119"/>
      <c r="AG122" s="119"/>
      <c r="AH122" s="119"/>
      <c r="AI122" s="119"/>
      <c r="AJ122" s="119"/>
      <c r="AK122" s="119"/>
      <c r="AL122" s="119"/>
      <c r="AM122" s="119">
        <v>0.1</v>
      </c>
      <c r="AN122" s="119"/>
      <c r="AO122" s="119"/>
      <c r="AP122" s="120">
        <f>SUM(AE122:AO122)</f>
        <v>0.14500000000000002</v>
      </c>
      <c r="AQ122" s="99"/>
    </row>
    <row r="123" spans="1:43" ht="16.5" hidden="1" outlineLevel="2" thickBot="1">
      <c r="A123" s="132"/>
      <c r="B123" s="132"/>
      <c r="C123" s="72"/>
      <c r="D123" s="15"/>
      <c r="E123" s="10"/>
      <c r="F123" s="24"/>
      <c r="G123" s="62"/>
      <c r="H123" s="52" t="s">
        <v>9</v>
      </c>
      <c r="I123" s="1" t="s">
        <v>10</v>
      </c>
      <c r="J123" s="1"/>
      <c r="K123" s="1"/>
      <c r="L123" s="2" t="s">
        <v>11</v>
      </c>
      <c r="M123" s="5"/>
      <c r="N123" s="60"/>
      <c r="O123" s="48"/>
      <c r="P123" s="52" t="str">
        <f t="shared" si="17"/>
        <v>note 1</v>
      </c>
      <c r="Q123" s="1" t="str">
        <f t="shared" si="17"/>
        <v>note 2</v>
      </c>
      <c r="R123" s="1">
        <f t="shared" si="17"/>
      </c>
      <c r="S123" s="1">
        <f t="shared" si="17"/>
      </c>
      <c r="T123" s="2" t="str">
        <f t="shared" si="17"/>
        <v>note 3</v>
      </c>
      <c r="U123" s="210"/>
      <c r="V123" s="49"/>
      <c r="W123" s="85"/>
      <c r="X123" s="170"/>
      <c r="Y123" s="171"/>
      <c r="Z123" s="171" t="s">
        <v>75</v>
      </c>
      <c r="AA123" s="172"/>
      <c r="AB123" s="173"/>
      <c r="AC123" s="90"/>
      <c r="AD123" s="98"/>
      <c r="AE123" s="118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20"/>
      <c r="AQ123" s="99"/>
    </row>
    <row r="124" spans="1:43" ht="15.75" customHeight="1" hidden="1" outlineLevel="2">
      <c r="A124" s="132"/>
      <c r="B124" s="132"/>
      <c r="C124" s="72"/>
      <c r="D124" s="15"/>
      <c r="E124" s="10"/>
      <c r="F124" s="24"/>
      <c r="G124" s="62"/>
      <c r="H124" s="246" t="s">
        <v>32</v>
      </c>
      <c r="I124" s="247"/>
      <c r="J124" s="247"/>
      <c r="K124" s="247"/>
      <c r="L124" s="248"/>
      <c r="M124" s="53"/>
      <c r="N124" s="60"/>
      <c r="O124" s="48"/>
      <c r="P124" s="246" t="str">
        <f t="shared" si="17"/>
        <v>(1). Analysis Coordinator (Resconi, 0.5); </v>
      </c>
      <c r="Q124" s="247">
        <f t="shared" si="17"/>
      </c>
      <c r="R124" s="247">
        <f t="shared" si="17"/>
      </c>
      <c r="S124" s="247">
        <f t="shared" si="17"/>
      </c>
      <c r="T124" s="248">
        <f t="shared" si="17"/>
      </c>
      <c r="U124" s="211"/>
      <c r="V124" s="49"/>
      <c r="W124" s="85"/>
      <c r="X124" s="251" t="s">
        <v>89</v>
      </c>
      <c r="Y124" s="252"/>
      <c r="Z124" s="252"/>
      <c r="AA124" s="253"/>
      <c r="AB124" s="174"/>
      <c r="AC124" s="90"/>
      <c r="AD124" s="98"/>
      <c r="AE124" s="118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20"/>
      <c r="AQ124" s="99"/>
    </row>
    <row r="125" spans="1:43" ht="15.75" customHeight="1" hidden="1" outlineLevel="2">
      <c r="A125" s="133"/>
      <c r="B125" s="133"/>
      <c r="C125" s="72"/>
      <c r="D125" s="15"/>
      <c r="E125" s="10"/>
      <c r="F125" s="24"/>
      <c r="G125" s="62"/>
      <c r="H125" s="237" t="s">
        <v>157</v>
      </c>
      <c r="I125" s="238"/>
      <c r="J125" s="238"/>
      <c r="K125" s="238"/>
      <c r="L125" s="239"/>
      <c r="M125" s="53"/>
      <c r="N125" s="60"/>
      <c r="O125" s="48"/>
      <c r="P125" s="237" t="str">
        <f>H125</f>
        <v>(2). Monitoring, 0.045M</v>
      </c>
      <c r="Q125" s="238"/>
      <c r="R125" s="238"/>
      <c r="S125" s="238"/>
      <c r="T125" s="239"/>
      <c r="U125" s="211"/>
      <c r="V125" s="49"/>
      <c r="W125" s="85"/>
      <c r="X125" s="254"/>
      <c r="Y125" s="255"/>
      <c r="Z125" s="255"/>
      <c r="AA125" s="256"/>
      <c r="AB125" s="174"/>
      <c r="AC125" s="90"/>
      <c r="AD125" s="98"/>
      <c r="AE125" s="118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20"/>
      <c r="AQ125" s="99"/>
    </row>
    <row r="126" spans="1:43" ht="15.75" customHeight="1" hidden="1" outlineLevel="2">
      <c r="A126" s="133"/>
      <c r="B126" s="133"/>
      <c r="C126" s="72"/>
      <c r="D126" s="15"/>
      <c r="E126" s="10"/>
      <c r="F126" s="24"/>
      <c r="G126" s="62"/>
      <c r="H126" s="237" t="s">
        <v>158</v>
      </c>
      <c r="I126" s="238"/>
      <c r="J126" s="238"/>
      <c r="K126" s="238"/>
      <c r="L126" s="239"/>
      <c r="M126" s="53"/>
      <c r="N126" s="60"/>
      <c r="O126" s="48"/>
      <c r="P126" s="237" t="s">
        <v>20</v>
      </c>
      <c r="Q126" s="238"/>
      <c r="R126" s="238"/>
      <c r="S126" s="238"/>
      <c r="T126" s="239"/>
      <c r="U126" s="211"/>
      <c r="V126" s="49"/>
      <c r="W126" s="85"/>
      <c r="X126" s="240"/>
      <c r="Y126" s="241"/>
      <c r="Z126" s="241"/>
      <c r="AA126" s="242"/>
      <c r="AB126" s="174"/>
      <c r="AC126" s="90"/>
      <c r="AD126" s="98"/>
      <c r="AE126" s="118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20"/>
      <c r="AQ126" s="99"/>
    </row>
    <row r="127" spans="1:43" ht="9.75" customHeight="1" hidden="1" outlineLevel="2" thickBot="1">
      <c r="A127" s="134"/>
      <c r="B127" s="134"/>
      <c r="C127" s="73"/>
      <c r="D127" s="16"/>
      <c r="E127" s="11"/>
      <c r="F127" s="25"/>
      <c r="G127" s="63"/>
      <c r="H127" s="234"/>
      <c r="I127" s="235"/>
      <c r="J127" s="235"/>
      <c r="K127" s="235"/>
      <c r="L127" s="236"/>
      <c r="M127" s="53"/>
      <c r="N127" s="60"/>
      <c r="O127" s="48"/>
      <c r="P127" s="234"/>
      <c r="Q127" s="235"/>
      <c r="R127" s="235"/>
      <c r="S127" s="235"/>
      <c r="T127" s="236"/>
      <c r="U127" s="211"/>
      <c r="V127" s="49"/>
      <c r="W127" s="85"/>
      <c r="X127" s="223"/>
      <c r="Y127" s="249"/>
      <c r="Z127" s="249"/>
      <c r="AA127" s="250"/>
      <c r="AB127" s="174"/>
      <c r="AC127" s="90"/>
      <c r="AD127" s="98"/>
      <c r="AE127" s="118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20"/>
      <c r="AQ127" s="99"/>
    </row>
    <row r="128" spans="1:43" ht="34.5" customHeight="1" outlineLevel="1" collapsed="1" thickBot="1" thickTop="1">
      <c r="A128" s="131" t="s">
        <v>209</v>
      </c>
      <c r="B128" s="131" t="s">
        <v>132</v>
      </c>
      <c r="C128" s="71">
        <f>D128+E128</f>
        <v>2</v>
      </c>
      <c r="D128" s="14">
        <v>1</v>
      </c>
      <c r="E128" s="13">
        <v>1</v>
      </c>
      <c r="F128" s="23">
        <v>0</v>
      </c>
      <c r="G128" s="61"/>
      <c r="H128" s="145">
        <v>0.4</v>
      </c>
      <c r="I128" s="80">
        <v>0.03</v>
      </c>
      <c r="J128" s="80"/>
      <c r="K128" s="80">
        <v>0.55</v>
      </c>
      <c r="L128" s="146">
        <v>0.5</v>
      </c>
      <c r="M128" s="130">
        <f>SUM(H128:L128)</f>
        <v>1.48</v>
      </c>
      <c r="N128" s="60"/>
      <c r="O128" s="48"/>
      <c r="P128" s="145">
        <f aca="true" t="shared" si="18" ref="P128:T129">IF(H128=0,"",H128)</f>
        <v>0.4</v>
      </c>
      <c r="Q128" s="80">
        <f t="shared" si="18"/>
        <v>0.03</v>
      </c>
      <c r="R128" s="80">
        <f t="shared" si="18"/>
      </c>
      <c r="S128" s="80">
        <f t="shared" si="18"/>
        <v>0.55</v>
      </c>
      <c r="T128" s="146">
        <f t="shared" si="18"/>
        <v>0.5</v>
      </c>
      <c r="U128" s="209">
        <f>SUM(P128:T128)</f>
        <v>1.48</v>
      </c>
      <c r="V128" s="49"/>
      <c r="W128" s="85"/>
      <c r="X128" s="166">
        <v>0.45</v>
      </c>
      <c r="Y128" s="185">
        <f>0.65+0.15</f>
        <v>0.8</v>
      </c>
      <c r="Z128" s="167">
        <v>0.18</v>
      </c>
      <c r="AA128" s="168">
        <v>0.4</v>
      </c>
      <c r="AB128" s="169">
        <f>SUM(X128:AA128)</f>
        <v>1.83</v>
      </c>
      <c r="AC128" s="90"/>
      <c r="AD128" s="98"/>
      <c r="AE128" s="118">
        <v>0.03</v>
      </c>
      <c r="AF128" s="119"/>
      <c r="AG128" s="119"/>
      <c r="AH128" s="119"/>
      <c r="AI128" s="119"/>
      <c r="AJ128" s="119"/>
      <c r="AK128" s="119">
        <v>0.15</v>
      </c>
      <c r="AL128" s="119"/>
      <c r="AM128" s="119"/>
      <c r="AN128" s="119"/>
      <c r="AO128" s="119"/>
      <c r="AP128" s="120">
        <f>SUM(AE128:AO128)</f>
        <v>0.18</v>
      </c>
      <c r="AQ128" s="99"/>
    </row>
    <row r="129" spans="1:43" ht="16.5" hidden="1" outlineLevel="2" thickBot="1">
      <c r="A129" s="132"/>
      <c r="B129" s="132"/>
      <c r="C129" s="72"/>
      <c r="D129" s="15"/>
      <c r="E129" s="10"/>
      <c r="F129" s="24"/>
      <c r="G129" s="62"/>
      <c r="H129" s="52" t="s">
        <v>9</v>
      </c>
      <c r="I129" s="1" t="s">
        <v>10</v>
      </c>
      <c r="J129" s="1"/>
      <c r="K129" s="1" t="s">
        <v>11</v>
      </c>
      <c r="L129" s="2"/>
      <c r="M129" s="5"/>
      <c r="N129" s="60"/>
      <c r="O129" s="48"/>
      <c r="P129" s="52" t="str">
        <f t="shared" si="18"/>
        <v>note 1</v>
      </c>
      <c r="Q129" s="1" t="str">
        <f t="shared" si="18"/>
        <v>note 2</v>
      </c>
      <c r="R129" s="1">
        <f t="shared" si="18"/>
      </c>
      <c r="S129" s="1" t="str">
        <f t="shared" si="18"/>
        <v>note 3</v>
      </c>
      <c r="T129" s="2">
        <f t="shared" si="18"/>
      </c>
      <c r="U129" s="210"/>
      <c r="V129" s="49"/>
      <c r="W129" s="85"/>
      <c r="X129" s="170"/>
      <c r="Y129" s="171"/>
      <c r="Z129" s="171" t="s">
        <v>75</v>
      </c>
      <c r="AA129" s="172"/>
      <c r="AB129" s="173"/>
      <c r="AC129" s="90"/>
      <c r="AD129" s="98"/>
      <c r="AE129" s="118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20"/>
      <c r="AQ129" s="99"/>
    </row>
    <row r="130" spans="1:43" ht="15.75" customHeight="1" hidden="1" outlineLevel="2">
      <c r="A130" s="132"/>
      <c r="B130" s="132"/>
      <c r="C130" s="72"/>
      <c r="D130" s="15"/>
      <c r="E130" s="10"/>
      <c r="F130" s="24"/>
      <c r="G130" s="62"/>
      <c r="H130" s="246" t="s">
        <v>159</v>
      </c>
      <c r="I130" s="247"/>
      <c r="J130" s="247"/>
      <c r="K130" s="247"/>
      <c r="L130" s="248"/>
      <c r="M130" s="53"/>
      <c r="N130" s="60"/>
      <c r="O130" s="48"/>
      <c r="P130" s="246" t="str">
        <f>H130</f>
        <v>(1). Host Fall 2009 Collaboration Meeting (0.4)</v>
      </c>
      <c r="Q130" s="247"/>
      <c r="R130" s="247"/>
      <c r="S130" s="247"/>
      <c r="T130" s="248"/>
      <c r="U130" s="211"/>
      <c r="V130" s="49"/>
      <c r="W130" s="85"/>
      <c r="X130" s="231" t="s">
        <v>90</v>
      </c>
      <c r="Y130" s="232"/>
      <c r="Z130" s="232"/>
      <c r="AA130" s="233"/>
      <c r="AB130" s="174"/>
      <c r="AC130" s="90"/>
      <c r="AD130" s="98"/>
      <c r="AE130" s="118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20"/>
      <c r="AQ130" s="99"/>
    </row>
    <row r="131" spans="1:43" ht="15.75" customHeight="1" hidden="1" outlineLevel="2">
      <c r="A131" s="133"/>
      <c r="B131" s="133"/>
      <c r="C131" s="72"/>
      <c r="D131" s="15"/>
      <c r="E131" s="10"/>
      <c r="F131" s="24"/>
      <c r="G131" s="62"/>
      <c r="H131" s="237" t="s">
        <v>25</v>
      </c>
      <c r="I131" s="238"/>
      <c r="J131" s="238"/>
      <c r="K131" s="238"/>
      <c r="L131" s="239"/>
      <c r="M131" s="53"/>
      <c r="N131" s="60"/>
      <c r="O131" s="48"/>
      <c r="P131" s="237" t="str">
        <f>H131</f>
        <v>(2). Monitoring</v>
      </c>
      <c r="Q131" s="238"/>
      <c r="R131" s="238"/>
      <c r="S131" s="238"/>
      <c r="T131" s="239"/>
      <c r="U131" s="211"/>
      <c r="V131" s="49"/>
      <c r="W131" s="85"/>
      <c r="X131" s="240"/>
      <c r="Y131" s="241"/>
      <c r="Z131" s="241"/>
      <c r="AA131" s="242"/>
      <c r="AB131" s="174"/>
      <c r="AC131" s="90"/>
      <c r="AD131" s="98"/>
      <c r="AE131" s="118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20"/>
      <c r="AQ131" s="99"/>
    </row>
    <row r="132" spans="1:43" ht="30" customHeight="1" hidden="1" outlineLevel="2">
      <c r="A132" s="133"/>
      <c r="B132" s="133"/>
      <c r="C132" s="72"/>
      <c r="D132" s="15"/>
      <c r="E132" s="10"/>
      <c r="F132" s="24"/>
      <c r="G132" s="62"/>
      <c r="H132" s="237" t="s">
        <v>160</v>
      </c>
      <c r="I132" s="238"/>
      <c r="J132" s="238"/>
      <c r="K132" s="238"/>
      <c r="L132" s="239"/>
      <c r="M132" s="53"/>
      <c r="N132" s="60"/>
      <c r="O132" s="48"/>
      <c r="P132" s="237" t="str">
        <f>H132</f>
        <v>(3). Waldenmaier (cr-wg lead, 0.25, cr-wg filter 0.15, ICC member for reconstruction 0.15) </v>
      </c>
      <c r="Q132" s="238"/>
      <c r="R132" s="238"/>
      <c r="S132" s="238"/>
      <c r="T132" s="239"/>
      <c r="U132" s="211"/>
      <c r="V132" s="49"/>
      <c r="W132" s="85"/>
      <c r="X132" s="240"/>
      <c r="Y132" s="241"/>
      <c r="Z132" s="241"/>
      <c r="AA132" s="242"/>
      <c r="AB132" s="174"/>
      <c r="AC132" s="90"/>
      <c r="AD132" s="98"/>
      <c r="AE132" s="118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20"/>
      <c r="AQ132" s="99"/>
    </row>
    <row r="133" spans="1:43" ht="7.5" customHeight="1" hidden="1" outlineLevel="2" thickBot="1">
      <c r="A133" s="134"/>
      <c r="B133" s="134"/>
      <c r="C133" s="73"/>
      <c r="D133" s="16"/>
      <c r="E133" s="11"/>
      <c r="F133" s="25"/>
      <c r="G133" s="63"/>
      <c r="H133" s="234"/>
      <c r="I133" s="235"/>
      <c r="J133" s="235"/>
      <c r="K133" s="235"/>
      <c r="L133" s="236"/>
      <c r="M133" s="53"/>
      <c r="N133" s="60"/>
      <c r="O133" s="48"/>
      <c r="P133" s="234"/>
      <c r="Q133" s="235"/>
      <c r="R133" s="235"/>
      <c r="S133" s="235"/>
      <c r="T133" s="236"/>
      <c r="U133" s="211"/>
      <c r="V133" s="49"/>
      <c r="W133" s="85"/>
      <c r="X133" s="223"/>
      <c r="Y133" s="249"/>
      <c r="Z133" s="249"/>
      <c r="AA133" s="250"/>
      <c r="AB133" s="174"/>
      <c r="AC133" s="90"/>
      <c r="AD133" s="98"/>
      <c r="AE133" s="118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20"/>
      <c r="AQ133" s="99"/>
    </row>
    <row r="134" spans="1:43" ht="34.5" customHeight="1" outlineLevel="1" collapsed="1" thickBot="1" thickTop="1">
      <c r="A134" s="131" t="s">
        <v>214</v>
      </c>
      <c r="B134" s="135" t="s">
        <v>141</v>
      </c>
      <c r="C134" s="71">
        <f>D134+E134</f>
        <v>2</v>
      </c>
      <c r="D134" s="14">
        <v>1</v>
      </c>
      <c r="E134" s="13">
        <v>1</v>
      </c>
      <c r="F134" s="23">
        <v>2</v>
      </c>
      <c r="G134" s="61"/>
      <c r="H134" s="145">
        <v>0.2</v>
      </c>
      <c r="I134" s="80">
        <v>0.03</v>
      </c>
      <c r="J134" s="80"/>
      <c r="K134" s="80">
        <v>0.6</v>
      </c>
      <c r="L134" s="146">
        <v>0.2</v>
      </c>
      <c r="M134" s="130">
        <f>SUM(H134:L134)</f>
        <v>1.03</v>
      </c>
      <c r="N134" s="60"/>
      <c r="O134" s="48"/>
      <c r="P134" s="145">
        <f aca="true" t="shared" si="19" ref="P134:T135">IF(H134=0,"",H134)</f>
        <v>0.2</v>
      </c>
      <c r="Q134" s="80">
        <f t="shared" si="19"/>
        <v>0.03</v>
      </c>
      <c r="R134" s="80">
        <f t="shared" si="19"/>
      </c>
      <c r="S134" s="80">
        <f t="shared" si="19"/>
        <v>0.6</v>
      </c>
      <c r="T134" s="146">
        <f t="shared" si="19"/>
        <v>0.2</v>
      </c>
      <c r="U134" s="209">
        <f>SUM(P134:T134)</f>
        <v>1.03</v>
      </c>
      <c r="V134" s="49"/>
      <c r="W134" s="85"/>
      <c r="X134" s="166">
        <v>0.45</v>
      </c>
      <c r="Y134" s="185">
        <f>0.65+0.15</f>
        <v>0.8</v>
      </c>
      <c r="Z134" s="167">
        <v>0.18</v>
      </c>
      <c r="AA134" s="168">
        <v>0.4</v>
      </c>
      <c r="AB134" s="169">
        <f>SUM(X134:AA134)</f>
        <v>1.83</v>
      </c>
      <c r="AC134" s="90"/>
      <c r="AD134" s="98"/>
      <c r="AE134" s="118">
        <v>0.03</v>
      </c>
      <c r="AF134" s="119"/>
      <c r="AG134" s="119"/>
      <c r="AH134" s="119"/>
      <c r="AI134" s="119"/>
      <c r="AJ134" s="119"/>
      <c r="AK134" s="119">
        <v>0.15</v>
      </c>
      <c r="AL134" s="119"/>
      <c r="AM134" s="119"/>
      <c r="AN134" s="119"/>
      <c r="AO134" s="119"/>
      <c r="AP134" s="120">
        <f>SUM(AE134:AO134)</f>
        <v>0.18</v>
      </c>
      <c r="AQ134" s="99"/>
    </row>
    <row r="135" spans="1:43" ht="16.5" hidden="1" outlineLevel="2" thickBot="1">
      <c r="A135" s="132"/>
      <c r="B135" s="132"/>
      <c r="C135" s="72"/>
      <c r="D135" s="15"/>
      <c r="E135" s="10"/>
      <c r="F135" s="24"/>
      <c r="G135" s="62"/>
      <c r="H135" s="52" t="s">
        <v>9</v>
      </c>
      <c r="I135" s="1" t="s">
        <v>10</v>
      </c>
      <c r="J135" s="1"/>
      <c r="K135" s="1" t="s">
        <v>11</v>
      </c>
      <c r="L135" s="1" t="s">
        <v>12</v>
      </c>
      <c r="M135" s="5"/>
      <c r="N135" s="60"/>
      <c r="O135" s="48"/>
      <c r="P135" s="52" t="str">
        <f t="shared" si="19"/>
        <v>note 1</v>
      </c>
      <c r="Q135" s="1" t="str">
        <f t="shared" si="19"/>
        <v>note 2</v>
      </c>
      <c r="R135" s="1">
        <f t="shared" si="19"/>
      </c>
      <c r="S135" s="1" t="str">
        <f t="shared" si="19"/>
        <v>note 3</v>
      </c>
      <c r="T135" s="2" t="str">
        <f t="shared" si="19"/>
        <v>note 4</v>
      </c>
      <c r="U135" s="210"/>
      <c r="V135" s="49"/>
      <c r="W135" s="85"/>
      <c r="X135" s="170"/>
      <c r="Y135" s="171"/>
      <c r="Z135" s="171" t="s">
        <v>75</v>
      </c>
      <c r="AA135" s="172"/>
      <c r="AB135" s="173"/>
      <c r="AC135" s="90"/>
      <c r="AD135" s="98"/>
      <c r="AE135" s="118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20"/>
      <c r="AQ135" s="99"/>
    </row>
    <row r="136" spans="1:43" ht="21.75" customHeight="1" hidden="1" outlineLevel="2">
      <c r="A136" s="132"/>
      <c r="B136" s="132"/>
      <c r="C136" s="72"/>
      <c r="D136" s="15"/>
      <c r="E136" s="10"/>
      <c r="F136" s="24"/>
      <c r="G136" s="62"/>
      <c r="H136" s="246" t="s">
        <v>142</v>
      </c>
      <c r="I136" s="247"/>
      <c r="J136" s="247"/>
      <c r="K136" s="247"/>
      <c r="L136" s="248"/>
      <c r="M136" s="53"/>
      <c r="N136" s="60"/>
      <c r="O136" s="48"/>
      <c r="P136" s="246" t="str">
        <f>H136</f>
        <v>(1). Kowalski (pubcom member, 0.1; Host Fall 2009 Collab. Meeting, 0.1)</v>
      </c>
      <c r="Q136" s="247"/>
      <c r="R136" s="247"/>
      <c r="S136" s="247"/>
      <c r="T136" s="248"/>
      <c r="U136" s="211"/>
      <c r="V136" s="49"/>
      <c r="W136" s="85"/>
      <c r="X136" s="231" t="s">
        <v>90</v>
      </c>
      <c r="Y136" s="232"/>
      <c r="Z136" s="232"/>
      <c r="AA136" s="233"/>
      <c r="AB136" s="174"/>
      <c r="AC136" s="90"/>
      <c r="AD136" s="98"/>
      <c r="AE136" s="118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20"/>
      <c r="AQ136" s="99"/>
    </row>
    <row r="137" spans="1:43" ht="19.5" customHeight="1" hidden="1" outlineLevel="2">
      <c r="A137" s="133"/>
      <c r="B137" s="133"/>
      <c r="C137" s="72"/>
      <c r="D137" s="15"/>
      <c r="E137" s="10"/>
      <c r="F137" s="24"/>
      <c r="G137" s="62"/>
      <c r="H137" s="237" t="s">
        <v>25</v>
      </c>
      <c r="I137" s="238"/>
      <c r="J137" s="238"/>
      <c r="K137" s="238"/>
      <c r="L137" s="239"/>
      <c r="M137" s="53"/>
      <c r="N137" s="60"/>
      <c r="O137" s="48"/>
      <c r="P137" s="237" t="str">
        <f>H137</f>
        <v>(2). Monitoring</v>
      </c>
      <c r="Q137" s="238"/>
      <c r="R137" s="238"/>
      <c r="S137" s="238"/>
      <c r="T137" s="239"/>
      <c r="U137" s="211"/>
      <c r="V137" s="49"/>
      <c r="W137" s="85"/>
      <c r="X137" s="240"/>
      <c r="Y137" s="241"/>
      <c r="Z137" s="241"/>
      <c r="AA137" s="242"/>
      <c r="AB137" s="174"/>
      <c r="AC137" s="90"/>
      <c r="AD137" s="98"/>
      <c r="AE137" s="118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20"/>
      <c r="AQ137" s="99"/>
    </row>
    <row r="138" spans="1:43" ht="38.25" customHeight="1" hidden="1" outlineLevel="2">
      <c r="A138" s="133"/>
      <c r="B138" s="133"/>
      <c r="C138" s="72"/>
      <c r="D138" s="15"/>
      <c r="E138" s="10"/>
      <c r="F138" s="24"/>
      <c r="G138" s="62"/>
      <c r="H138" s="237" t="s">
        <v>143</v>
      </c>
      <c r="I138" s="238"/>
      <c r="J138" s="238"/>
      <c r="K138" s="238"/>
      <c r="L138" s="239"/>
      <c r="M138" s="53"/>
      <c r="N138" s="60"/>
      <c r="O138" s="48"/>
      <c r="P138" s="237" t="str">
        <f>H138</f>
        <v>(3). Kowalski (point source wg co-lead, 0.25 and TFT board member, 0.1); IC59 pole filter (Sebastian, 0.05), Alert system for follow-up (Franckowiak, 0.2)</v>
      </c>
      <c r="Q138" s="238"/>
      <c r="R138" s="238"/>
      <c r="S138" s="238"/>
      <c r="T138" s="239"/>
      <c r="U138" s="211"/>
      <c r="V138" s="49"/>
      <c r="W138" s="85"/>
      <c r="X138" s="240"/>
      <c r="Y138" s="241"/>
      <c r="Z138" s="241"/>
      <c r="AA138" s="242"/>
      <c r="AB138" s="174"/>
      <c r="AC138" s="90"/>
      <c r="AD138" s="98"/>
      <c r="AE138" s="118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20"/>
      <c r="AQ138" s="99"/>
    </row>
    <row r="139" spans="1:43" ht="30" customHeight="1" hidden="1" outlineLevel="2">
      <c r="A139" s="133"/>
      <c r="B139" s="133"/>
      <c r="C139" s="72"/>
      <c r="D139" s="15"/>
      <c r="E139" s="10"/>
      <c r="F139" s="24"/>
      <c r="G139" s="62"/>
      <c r="H139" s="237" t="s">
        <v>144</v>
      </c>
      <c r="I139" s="238"/>
      <c r="J139" s="238"/>
      <c r="K139" s="238"/>
      <c r="L139" s="239"/>
      <c r="M139" s="53"/>
      <c r="N139" s="60"/>
      <c r="O139" s="48"/>
      <c r="P139" s="237" t="str">
        <f>H139</f>
        <v>(4) Reconstruction tools</v>
      </c>
      <c r="Q139" s="238"/>
      <c r="R139" s="238"/>
      <c r="S139" s="238"/>
      <c r="T139" s="239"/>
      <c r="U139" s="211"/>
      <c r="V139" s="49"/>
      <c r="W139" s="85"/>
      <c r="X139" s="240"/>
      <c r="Y139" s="241"/>
      <c r="Z139" s="241"/>
      <c r="AA139" s="242"/>
      <c r="AB139" s="174"/>
      <c r="AC139" s="90"/>
      <c r="AD139" s="98"/>
      <c r="AE139" s="118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20"/>
      <c r="AQ139" s="99"/>
    </row>
    <row r="140" spans="1:43" ht="7.5" customHeight="1" hidden="1" outlineLevel="2" thickBot="1">
      <c r="A140" s="134"/>
      <c r="B140" s="134"/>
      <c r="C140" s="73"/>
      <c r="D140" s="16"/>
      <c r="E140" s="11"/>
      <c r="F140" s="25"/>
      <c r="G140" s="63"/>
      <c r="H140" s="234"/>
      <c r="I140" s="235"/>
      <c r="J140" s="235"/>
      <c r="K140" s="235"/>
      <c r="L140" s="236"/>
      <c r="M140" s="53"/>
      <c r="N140" s="60"/>
      <c r="O140" s="48"/>
      <c r="P140" s="234"/>
      <c r="Q140" s="235"/>
      <c r="R140" s="235"/>
      <c r="S140" s="235"/>
      <c r="T140" s="236"/>
      <c r="U140" s="211"/>
      <c r="V140" s="49"/>
      <c r="W140" s="85"/>
      <c r="X140" s="223"/>
      <c r="Y140" s="249"/>
      <c r="Z140" s="249"/>
      <c r="AA140" s="250"/>
      <c r="AB140" s="174"/>
      <c r="AC140" s="90"/>
      <c r="AD140" s="98"/>
      <c r="AE140" s="118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20"/>
      <c r="AQ140" s="99"/>
    </row>
    <row r="141" spans="1:43" ht="34.5" customHeight="1" outlineLevel="1" collapsed="1" thickBot="1" thickTop="1">
      <c r="A141" s="131" t="s">
        <v>209</v>
      </c>
      <c r="B141" s="135" t="s">
        <v>161</v>
      </c>
      <c r="C141" s="71">
        <f>D141+E141</f>
        <v>1</v>
      </c>
      <c r="D141" s="14">
        <v>1</v>
      </c>
      <c r="E141" s="13">
        <v>0</v>
      </c>
      <c r="F141" s="23">
        <v>2</v>
      </c>
      <c r="G141" s="61"/>
      <c r="H141" s="145">
        <v>0.1</v>
      </c>
      <c r="I141" s="80">
        <v>0.03</v>
      </c>
      <c r="J141" s="80"/>
      <c r="K141" s="80"/>
      <c r="L141" s="146">
        <v>0.5</v>
      </c>
      <c r="M141" s="130">
        <f>SUM(H141:L141)</f>
        <v>0.63</v>
      </c>
      <c r="N141" s="60"/>
      <c r="O141" s="48"/>
      <c r="P141" s="145">
        <f aca="true" t="shared" si="20" ref="P141:T142">IF(H141=0,"",H141)</f>
        <v>0.1</v>
      </c>
      <c r="Q141" s="80">
        <f t="shared" si="20"/>
        <v>0.03</v>
      </c>
      <c r="R141" s="80">
        <f t="shared" si="20"/>
      </c>
      <c r="S141" s="80">
        <f t="shared" si="20"/>
      </c>
      <c r="T141" s="146">
        <f t="shared" si="20"/>
        <v>0.5</v>
      </c>
      <c r="U141" s="209">
        <f>SUM(P141:T141)</f>
        <v>0.63</v>
      </c>
      <c r="V141" s="49"/>
      <c r="W141" s="85"/>
      <c r="X141" s="166">
        <v>0.45</v>
      </c>
      <c r="Y141" s="185">
        <f>0.65+0.15</f>
        <v>0.8</v>
      </c>
      <c r="Z141" s="167">
        <v>0.18</v>
      </c>
      <c r="AA141" s="168">
        <v>0.4</v>
      </c>
      <c r="AB141" s="169">
        <f>SUM(X141:AA141)</f>
        <v>1.83</v>
      </c>
      <c r="AC141" s="90"/>
      <c r="AD141" s="98"/>
      <c r="AE141" s="118">
        <v>0.03</v>
      </c>
      <c r="AF141" s="119"/>
      <c r="AG141" s="119"/>
      <c r="AH141" s="119"/>
      <c r="AI141" s="119"/>
      <c r="AJ141" s="119"/>
      <c r="AK141" s="119">
        <v>0.15</v>
      </c>
      <c r="AL141" s="119"/>
      <c r="AM141" s="119"/>
      <c r="AN141" s="119"/>
      <c r="AO141" s="119"/>
      <c r="AP141" s="120">
        <f>SUM(AE141:AO141)</f>
        <v>0.18</v>
      </c>
      <c r="AQ141" s="99"/>
    </row>
    <row r="142" spans="1:43" ht="16.5" hidden="1" outlineLevel="2" thickBot="1">
      <c r="A142" s="132"/>
      <c r="B142" s="132"/>
      <c r="C142" s="72"/>
      <c r="D142" s="15"/>
      <c r="E142" s="10"/>
      <c r="F142" s="24"/>
      <c r="G142" s="62"/>
      <c r="H142" s="52" t="s">
        <v>9</v>
      </c>
      <c r="I142" s="1" t="s">
        <v>10</v>
      </c>
      <c r="J142" s="1"/>
      <c r="K142" s="1"/>
      <c r="L142" s="1" t="s">
        <v>11</v>
      </c>
      <c r="M142" s="5"/>
      <c r="N142" s="60"/>
      <c r="O142" s="48"/>
      <c r="P142" s="52" t="str">
        <f t="shared" si="20"/>
        <v>note 1</v>
      </c>
      <c r="Q142" s="1" t="str">
        <f t="shared" si="20"/>
        <v>note 2</v>
      </c>
      <c r="R142" s="1">
        <f t="shared" si="20"/>
      </c>
      <c r="S142" s="1">
        <f t="shared" si="20"/>
      </c>
      <c r="T142" s="2" t="str">
        <f t="shared" si="20"/>
        <v>note 3</v>
      </c>
      <c r="U142" s="210"/>
      <c r="V142" s="49"/>
      <c r="W142" s="85"/>
      <c r="X142" s="170"/>
      <c r="Y142" s="171"/>
      <c r="Z142" s="171" t="s">
        <v>75</v>
      </c>
      <c r="AA142" s="172"/>
      <c r="AB142" s="173"/>
      <c r="AC142" s="90"/>
      <c r="AD142" s="98"/>
      <c r="AE142" s="118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20"/>
      <c r="AQ142" s="99"/>
    </row>
    <row r="143" spans="1:43" ht="21.75" customHeight="1" hidden="1" outlineLevel="2">
      <c r="A143" s="132"/>
      <c r="B143" s="132"/>
      <c r="C143" s="72"/>
      <c r="D143" s="15"/>
      <c r="E143" s="10"/>
      <c r="F143" s="24"/>
      <c r="G143" s="62"/>
      <c r="H143" s="246" t="s">
        <v>162</v>
      </c>
      <c r="I143" s="247"/>
      <c r="J143" s="247"/>
      <c r="K143" s="247"/>
      <c r="L143" s="248"/>
      <c r="M143" s="53"/>
      <c r="N143" s="60"/>
      <c r="O143" s="48"/>
      <c r="P143" s="246" t="str">
        <f>H143</f>
        <v>(1) Member of publication committee (Becker)</v>
      </c>
      <c r="Q143" s="247"/>
      <c r="R143" s="247"/>
      <c r="S143" s="247"/>
      <c r="T143" s="248"/>
      <c r="U143" s="211"/>
      <c r="V143" s="49"/>
      <c r="W143" s="85"/>
      <c r="X143" s="231" t="s">
        <v>90</v>
      </c>
      <c r="Y143" s="232"/>
      <c r="Z143" s="232"/>
      <c r="AA143" s="233"/>
      <c r="AB143" s="174"/>
      <c r="AC143" s="90"/>
      <c r="AD143" s="98"/>
      <c r="AE143" s="118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20"/>
      <c r="AQ143" s="99"/>
    </row>
    <row r="144" spans="1:43" ht="19.5" customHeight="1" hidden="1" outlineLevel="2">
      <c r="A144" s="133"/>
      <c r="B144" s="133"/>
      <c r="C144" s="72"/>
      <c r="D144" s="15"/>
      <c r="E144" s="10"/>
      <c r="F144" s="24"/>
      <c r="G144" s="62"/>
      <c r="H144" s="237" t="s">
        <v>25</v>
      </c>
      <c r="I144" s="238"/>
      <c r="J144" s="238"/>
      <c r="K144" s="238"/>
      <c r="L144" s="239"/>
      <c r="M144" s="53"/>
      <c r="N144" s="60"/>
      <c r="O144" s="48"/>
      <c r="P144" s="237" t="str">
        <f>H144</f>
        <v>(2). Monitoring</v>
      </c>
      <c r="Q144" s="238"/>
      <c r="R144" s="238"/>
      <c r="S144" s="238"/>
      <c r="T144" s="239"/>
      <c r="U144" s="211"/>
      <c r="V144" s="49"/>
      <c r="W144" s="85"/>
      <c r="X144" s="240"/>
      <c r="Y144" s="241"/>
      <c r="Z144" s="241"/>
      <c r="AA144" s="242"/>
      <c r="AB144" s="174"/>
      <c r="AC144" s="90"/>
      <c r="AD144" s="98"/>
      <c r="AE144" s="118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20"/>
      <c r="AQ144" s="99"/>
    </row>
    <row r="145" spans="1:43" ht="22.5" customHeight="1" hidden="1" outlineLevel="2">
      <c r="A145" s="133"/>
      <c r="B145" s="133"/>
      <c r="C145" s="72"/>
      <c r="D145" s="15"/>
      <c r="E145" s="10"/>
      <c r="F145" s="24"/>
      <c r="G145" s="62"/>
      <c r="H145" s="237" t="s">
        <v>163</v>
      </c>
      <c r="I145" s="238"/>
      <c r="J145" s="238"/>
      <c r="K145" s="238"/>
      <c r="L145" s="239"/>
      <c r="M145" s="53"/>
      <c r="N145" s="60"/>
      <c r="O145" s="48"/>
      <c r="P145" s="237" t="str">
        <f>H145</f>
        <v>(3) Update MMC from Java to C++ (Dreyer, Olivo)</v>
      </c>
      <c r="Q145" s="238"/>
      <c r="R145" s="238"/>
      <c r="S145" s="238"/>
      <c r="T145" s="239"/>
      <c r="U145" s="211"/>
      <c r="V145" s="49"/>
      <c r="W145" s="85"/>
      <c r="X145" s="240"/>
      <c r="Y145" s="241"/>
      <c r="Z145" s="241"/>
      <c r="AA145" s="242"/>
      <c r="AB145" s="174"/>
      <c r="AC145" s="90"/>
      <c r="AD145" s="98"/>
      <c r="AE145" s="118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20"/>
      <c r="AQ145" s="99"/>
    </row>
    <row r="146" spans="1:43" ht="6" customHeight="1" hidden="1" outlineLevel="2">
      <c r="A146" s="133"/>
      <c r="B146" s="133"/>
      <c r="C146" s="72"/>
      <c r="D146" s="15"/>
      <c r="E146" s="10"/>
      <c r="F146" s="24"/>
      <c r="G146" s="62"/>
      <c r="H146" s="237"/>
      <c r="I146" s="238"/>
      <c r="J146" s="238"/>
      <c r="K146" s="238"/>
      <c r="L146" s="239"/>
      <c r="M146" s="53"/>
      <c r="N146" s="60"/>
      <c r="O146" s="48"/>
      <c r="P146" s="237">
        <f>H146</f>
        <v>0</v>
      </c>
      <c r="Q146" s="238"/>
      <c r="R146" s="238"/>
      <c r="S146" s="238"/>
      <c r="T146" s="239"/>
      <c r="U146" s="211"/>
      <c r="V146" s="49"/>
      <c r="W146" s="85"/>
      <c r="X146" s="240"/>
      <c r="Y146" s="241"/>
      <c r="Z146" s="241"/>
      <c r="AA146" s="242"/>
      <c r="AB146" s="174"/>
      <c r="AC146" s="90"/>
      <c r="AD146" s="98"/>
      <c r="AE146" s="118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20"/>
      <c r="AQ146" s="99"/>
    </row>
    <row r="147" spans="1:43" ht="7.5" customHeight="1" hidden="1" outlineLevel="2" thickBot="1">
      <c r="A147" s="134"/>
      <c r="B147" s="134"/>
      <c r="C147" s="73"/>
      <c r="D147" s="16"/>
      <c r="E147" s="11"/>
      <c r="F147" s="25"/>
      <c r="G147" s="63"/>
      <c r="H147" s="234"/>
      <c r="I147" s="235"/>
      <c r="J147" s="235"/>
      <c r="K147" s="235"/>
      <c r="L147" s="236"/>
      <c r="M147" s="53"/>
      <c r="N147" s="60"/>
      <c r="O147" s="48"/>
      <c r="P147" s="234"/>
      <c r="Q147" s="235"/>
      <c r="R147" s="235"/>
      <c r="S147" s="235"/>
      <c r="T147" s="236"/>
      <c r="U147" s="211"/>
      <c r="V147" s="49"/>
      <c r="W147" s="85"/>
      <c r="X147" s="223"/>
      <c r="Y147" s="249"/>
      <c r="Z147" s="249"/>
      <c r="AA147" s="250"/>
      <c r="AB147" s="174"/>
      <c r="AC147" s="90"/>
      <c r="AD147" s="98"/>
      <c r="AE147" s="118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20"/>
      <c r="AQ147" s="99"/>
    </row>
    <row r="148" spans="1:43" ht="34.5" customHeight="1" outlineLevel="1" collapsed="1" thickBot="1" thickTop="1">
      <c r="A148" s="131" t="s">
        <v>213</v>
      </c>
      <c r="B148" s="131" t="s">
        <v>130</v>
      </c>
      <c r="C148" s="71">
        <f>D148+E148</f>
        <v>4</v>
      </c>
      <c r="D148" s="14">
        <v>2</v>
      </c>
      <c r="E148" s="13">
        <v>2</v>
      </c>
      <c r="F148" s="23">
        <v>3</v>
      </c>
      <c r="G148" s="61"/>
      <c r="H148" s="147">
        <v>0.3</v>
      </c>
      <c r="I148" s="80">
        <v>0.23</v>
      </c>
      <c r="J148" s="80">
        <v>0.5</v>
      </c>
      <c r="K148" s="80">
        <v>0.2</v>
      </c>
      <c r="L148" s="146"/>
      <c r="M148" s="130">
        <f>SUM(H148:L148)</f>
        <v>1.23</v>
      </c>
      <c r="N148" s="60"/>
      <c r="O148" s="48"/>
      <c r="P148" s="147">
        <f aca="true" t="shared" si="21" ref="P148:T149">IF(H148=0,"",H148)</f>
        <v>0.3</v>
      </c>
      <c r="Q148" s="80">
        <f t="shared" si="21"/>
        <v>0.23</v>
      </c>
      <c r="R148" s="80">
        <f t="shared" si="21"/>
        <v>0.5</v>
      </c>
      <c r="S148" s="80">
        <f t="shared" si="21"/>
        <v>0.2</v>
      </c>
      <c r="T148" s="146">
        <f t="shared" si="21"/>
      </c>
      <c r="U148" s="209">
        <f>SUM(P148:T148)</f>
        <v>1.23</v>
      </c>
      <c r="V148" s="49"/>
      <c r="W148" s="85"/>
      <c r="X148" s="166">
        <v>0.6</v>
      </c>
      <c r="Y148" s="167">
        <v>0.2</v>
      </c>
      <c r="Z148" s="167">
        <v>0.03</v>
      </c>
      <c r="AA148" s="168">
        <v>0.2</v>
      </c>
      <c r="AB148" s="169">
        <f>SUM(X148:AA148)</f>
        <v>1.03</v>
      </c>
      <c r="AC148" s="90"/>
      <c r="AD148" s="98"/>
      <c r="AE148" s="118">
        <v>0.03</v>
      </c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20">
        <f>SUM(AE148:AO148)</f>
        <v>0.03</v>
      </c>
      <c r="AQ148" s="99"/>
    </row>
    <row r="149" spans="1:43" ht="16.5" hidden="1" outlineLevel="2" thickBot="1">
      <c r="A149" s="132"/>
      <c r="B149" s="132"/>
      <c r="C149" s="72"/>
      <c r="D149" s="15"/>
      <c r="E149" s="10"/>
      <c r="F149" s="24"/>
      <c r="G149" s="62"/>
      <c r="H149" s="52" t="s">
        <v>9</v>
      </c>
      <c r="I149" s="1" t="s">
        <v>10</v>
      </c>
      <c r="J149" s="1" t="s">
        <v>11</v>
      </c>
      <c r="K149" s="1" t="s">
        <v>12</v>
      </c>
      <c r="L149" s="2"/>
      <c r="M149" s="5"/>
      <c r="N149" s="60"/>
      <c r="O149" s="48"/>
      <c r="P149" s="52" t="str">
        <f t="shared" si="21"/>
        <v>note 1</v>
      </c>
      <c r="Q149" s="1" t="str">
        <f t="shared" si="21"/>
        <v>note 2</v>
      </c>
      <c r="R149" s="1" t="str">
        <f t="shared" si="21"/>
        <v>note 3</v>
      </c>
      <c r="S149" s="1" t="str">
        <f t="shared" si="21"/>
        <v>note 4</v>
      </c>
      <c r="T149" s="2">
        <f t="shared" si="21"/>
      </c>
      <c r="U149" s="210"/>
      <c r="V149" s="49"/>
      <c r="W149" s="85"/>
      <c r="X149" s="170"/>
      <c r="Y149" s="171"/>
      <c r="Z149" s="171" t="s">
        <v>75</v>
      </c>
      <c r="AA149" s="172"/>
      <c r="AB149" s="173"/>
      <c r="AC149" s="90"/>
      <c r="AD149" s="98"/>
      <c r="AE149" s="118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20"/>
      <c r="AQ149" s="99"/>
    </row>
    <row r="150" spans="1:43" ht="27.75" customHeight="1" hidden="1" outlineLevel="2">
      <c r="A150" s="132"/>
      <c r="B150" s="132"/>
      <c r="C150" s="72"/>
      <c r="D150" s="15"/>
      <c r="E150" s="10"/>
      <c r="F150" s="24"/>
      <c r="G150" s="62"/>
      <c r="H150" s="246" t="s">
        <v>18</v>
      </c>
      <c r="I150" s="247"/>
      <c r="J150" s="247"/>
      <c r="K150" s="247"/>
      <c r="L150" s="248"/>
      <c r="M150" s="53"/>
      <c r="N150" s="60"/>
      <c r="O150" s="48"/>
      <c r="P150" s="246" t="str">
        <f>H150</f>
        <v>(1). Member of ExecCom (Bertrand, 0.20); EMI / R&amp;D (Hanson, 0.1)</v>
      </c>
      <c r="Q150" s="247"/>
      <c r="R150" s="247"/>
      <c r="S150" s="247"/>
      <c r="T150" s="248"/>
      <c r="U150" s="211"/>
      <c r="V150" s="49"/>
      <c r="W150" s="85"/>
      <c r="X150" s="231" t="s">
        <v>88</v>
      </c>
      <c r="Y150" s="232"/>
      <c r="Z150" s="232"/>
      <c r="AA150" s="233"/>
      <c r="AB150" s="174"/>
      <c r="AC150" s="90"/>
      <c r="AD150" s="98"/>
      <c r="AE150" s="118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20"/>
      <c r="AQ150" s="99"/>
    </row>
    <row r="151" spans="1:43" ht="27.75" customHeight="1" hidden="1" outlineLevel="2">
      <c r="A151" s="133"/>
      <c r="B151" s="133"/>
      <c r="C151" s="72"/>
      <c r="D151" s="15"/>
      <c r="E151" s="10"/>
      <c r="F151" s="24"/>
      <c r="G151" s="62"/>
      <c r="H151" s="237" t="s">
        <v>19</v>
      </c>
      <c r="I151" s="238"/>
      <c r="J151" s="238"/>
      <c r="K151" s="238"/>
      <c r="L151" s="239"/>
      <c r="M151" s="53"/>
      <c r="N151" s="60"/>
      <c r="O151" s="48"/>
      <c r="P151" s="237" t="str">
        <f>H151</f>
        <v>(2). DAQ (Hanson, 0.2); Monitoring 0.03M</v>
      </c>
      <c r="Q151" s="238"/>
      <c r="R151" s="238"/>
      <c r="S151" s="238"/>
      <c r="T151" s="239"/>
      <c r="U151" s="211"/>
      <c r="V151" s="49"/>
      <c r="W151" s="85"/>
      <c r="X151" s="240"/>
      <c r="Y151" s="241"/>
      <c r="Z151" s="241"/>
      <c r="AA151" s="242"/>
      <c r="AB151" s="174"/>
      <c r="AC151" s="90"/>
      <c r="AD151" s="98"/>
      <c r="AE151" s="118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20"/>
      <c r="AQ151" s="99"/>
    </row>
    <row r="152" spans="1:43" ht="41.25" customHeight="1" hidden="1" outlineLevel="2">
      <c r="A152" s="133"/>
      <c r="B152" s="133"/>
      <c r="C152" s="72"/>
      <c r="D152" s="15"/>
      <c r="E152" s="10"/>
      <c r="F152" s="24"/>
      <c r="G152" s="62"/>
      <c r="H152" s="237" t="s">
        <v>188</v>
      </c>
      <c r="I152" s="238"/>
      <c r="J152" s="238"/>
      <c r="K152" s="238"/>
      <c r="L152" s="239"/>
      <c r="M152" s="53"/>
      <c r="N152" s="60"/>
      <c r="O152" s="48"/>
      <c r="P152" s="237" t="str">
        <f>H152</f>
        <v>(3). The I3OmDb will remain for 2009-2010 as Mons responsibility.  However, some transfer of knowledge required for DB coordination will take place (0.2, Post-doc); 0.3 compute cluster - simulation</v>
      </c>
      <c r="Q152" s="238"/>
      <c r="R152" s="238"/>
      <c r="S152" s="238"/>
      <c r="T152" s="239"/>
      <c r="U152" s="211"/>
      <c r="V152" s="49"/>
      <c r="W152" s="85"/>
      <c r="X152" s="240"/>
      <c r="Y152" s="241"/>
      <c r="Z152" s="241"/>
      <c r="AA152" s="242"/>
      <c r="AB152" s="174"/>
      <c r="AC152" s="90"/>
      <c r="AD152" s="98"/>
      <c r="AE152" s="118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20"/>
      <c r="AQ152" s="99"/>
    </row>
    <row r="153" spans="1:43" ht="27.75" customHeight="1" hidden="1" outlineLevel="2">
      <c r="A153" s="133"/>
      <c r="B153" s="133"/>
      <c r="C153" s="72"/>
      <c r="D153" s="15"/>
      <c r="E153" s="10"/>
      <c r="F153" s="24"/>
      <c r="G153" s="62"/>
      <c r="H153" s="237" t="s">
        <v>189</v>
      </c>
      <c r="I153" s="238"/>
      <c r="J153" s="238"/>
      <c r="K153" s="238"/>
      <c r="L153" s="239"/>
      <c r="M153" s="53"/>
      <c r="N153" s="60"/>
      <c r="O153" s="48"/>
      <c r="P153" s="237" t="str">
        <f>H153</f>
        <v>(4). (0.1 TFT board, Hanson) (0.1 Study of tau filters at the Pole)</v>
      </c>
      <c r="Q153" s="238"/>
      <c r="R153" s="238"/>
      <c r="S153" s="238"/>
      <c r="T153" s="239"/>
      <c r="U153" s="211"/>
      <c r="V153" s="49"/>
      <c r="W153" s="85"/>
      <c r="X153" s="240"/>
      <c r="Y153" s="241"/>
      <c r="Z153" s="241"/>
      <c r="AA153" s="242"/>
      <c r="AB153" s="174"/>
      <c r="AC153" s="90"/>
      <c r="AD153" s="98"/>
      <c r="AE153" s="118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20"/>
      <c r="AQ153" s="99"/>
    </row>
    <row r="154" spans="1:43" ht="9.75" customHeight="1" hidden="1" outlineLevel="2" thickBot="1">
      <c r="A154" s="134"/>
      <c r="B154" s="134"/>
      <c r="C154" s="73"/>
      <c r="D154" s="16"/>
      <c r="E154" s="11"/>
      <c r="F154" s="25"/>
      <c r="G154" s="63"/>
      <c r="H154" s="234"/>
      <c r="I154" s="235"/>
      <c r="J154" s="235"/>
      <c r="K154" s="235"/>
      <c r="L154" s="236"/>
      <c r="M154" s="53"/>
      <c r="N154" s="60"/>
      <c r="O154" s="48"/>
      <c r="P154" s="234"/>
      <c r="Q154" s="235"/>
      <c r="R154" s="235"/>
      <c r="S154" s="235"/>
      <c r="T154" s="236"/>
      <c r="U154" s="211"/>
      <c r="V154" s="49"/>
      <c r="W154" s="85"/>
      <c r="X154" s="223"/>
      <c r="Y154" s="249"/>
      <c r="Z154" s="249"/>
      <c r="AA154" s="250"/>
      <c r="AB154" s="174"/>
      <c r="AC154" s="90"/>
      <c r="AD154" s="98"/>
      <c r="AE154" s="118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20"/>
      <c r="AQ154" s="99"/>
    </row>
    <row r="155" spans="1:43" ht="34.5" customHeight="1" outlineLevel="1" collapsed="1" thickBot="1" thickTop="1">
      <c r="A155" s="131" t="s">
        <v>213</v>
      </c>
      <c r="B155" s="131" t="s">
        <v>133</v>
      </c>
      <c r="C155" s="71">
        <f>D155+E155</f>
        <v>1</v>
      </c>
      <c r="D155" s="14">
        <v>1</v>
      </c>
      <c r="E155" s="13">
        <v>0</v>
      </c>
      <c r="F155" s="23">
        <v>1</v>
      </c>
      <c r="G155" s="61"/>
      <c r="H155" s="145"/>
      <c r="I155" s="80">
        <v>0.03</v>
      </c>
      <c r="J155" s="80">
        <v>0.3</v>
      </c>
      <c r="K155" s="80"/>
      <c r="L155" s="146"/>
      <c r="M155" s="130">
        <f>SUM(H155:L155)</f>
        <v>0.32999999999999996</v>
      </c>
      <c r="N155" s="60"/>
      <c r="O155" s="48"/>
      <c r="P155" s="145">
        <f aca="true" t="shared" si="22" ref="P155:T156">IF(H155=0,"",H155)</f>
      </c>
      <c r="Q155" s="80">
        <f t="shared" si="22"/>
        <v>0.03</v>
      </c>
      <c r="R155" s="80">
        <f t="shared" si="22"/>
        <v>0.3</v>
      </c>
      <c r="S155" s="80">
        <f t="shared" si="22"/>
      </c>
      <c r="T155" s="146">
        <f t="shared" si="22"/>
      </c>
      <c r="U155" s="209">
        <f>SUM(P155:T155)</f>
        <v>0.32999999999999996</v>
      </c>
      <c r="V155" s="49"/>
      <c r="W155" s="85"/>
      <c r="X155" s="166"/>
      <c r="Y155" s="185"/>
      <c r="Z155" s="167">
        <v>0.33</v>
      </c>
      <c r="AA155" s="168"/>
      <c r="AB155" s="169">
        <f>SUM(X155:AA155)</f>
        <v>0.33</v>
      </c>
      <c r="AC155" s="90"/>
      <c r="AD155" s="98"/>
      <c r="AE155" s="118">
        <v>0.03</v>
      </c>
      <c r="AF155" s="119"/>
      <c r="AG155" s="119"/>
      <c r="AH155" s="119"/>
      <c r="AI155" s="119"/>
      <c r="AJ155" s="119">
        <v>0.3</v>
      </c>
      <c r="AK155" s="119"/>
      <c r="AL155" s="119"/>
      <c r="AM155" s="119"/>
      <c r="AN155" s="119"/>
      <c r="AO155" s="119"/>
      <c r="AP155" s="120">
        <f>SUM(AE155:AO155)</f>
        <v>0.32999999999999996</v>
      </c>
      <c r="AQ155" s="99"/>
    </row>
    <row r="156" spans="1:43" ht="24" customHeight="1" hidden="1" outlineLevel="2" thickBot="1">
      <c r="A156" s="132"/>
      <c r="B156" s="132"/>
      <c r="C156" s="72"/>
      <c r="D156" s="15"/>
      <c r="E156" s="10"/>
      <c r="F156" s="24"/>
      <c r="G156" s="62"/>
      <c r="H156" s="52"/>
      <c r="I156" s="1" t="s">
        <v>9</v>
      </c>
      <c r="J156" s="1" t="s">
        <v>10</v>
      </c>
      <c r="K156" s="1"/>
      <c r="L156" s="2"/>
      <c r="M156" s="5"/>
      <c r="N156" s="60"/>
      <c r="O156" s="48"/>
      <c r="P156" s="52">
        <f t="shared" si="22"/>
      </c>
      <c r="Q156" s="1" t="str">
        <f t="shared" si="22"/>
        <v>note 1</v>
      </c>
      <c r="R156" s="1" t="str">
        <f t="shared" si="22"/>
        <v>note 2</v>
      </c>
      <c r="S156" s="1">
        <f t="shared" si="22"/>
      </c>
      <c r="T156" s="2">
        <f t="shared" si="22"/>
      </c>
      <c r="U156" s="210"/>
      <c r="V156" s="49"/>
      <c r="W156" s="85"/>
      <c r="X156" s="170"/>
      <c r="Y156" s="171"/>
      <c r="Z156" s="171" t="s">
        <v>75</v>
      </c>
      <c r="AA156" s="172"/>
      <c r="AB156" s="173"/>
      <c r="AC156" s="90"/>
      <c r="AD156" s="98"/>
      <c r="AE156" s="118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20"/>
      <c r="AQ156" s="99"/>
    </row>
    <row r="157" spans="1:43" ht="22.5" customHeight="1" hidden="1" outlineLevel="2">
      <c r="A157" s="132"/>
      <c r="B157" s="132"/>
      <c r="C157" s="72"/>
      <c r="D157" s="15"/>
      <c r="E157" s="10"/>
      <c r="F157" s="24"/>
      <c r="G157" s="62"/>
      <c r="H157" s="237" t="s">
        <v>22</v>
      </c>
      <c r="I157" s="238"/>
      <c r="J157" s="238"/>
      <c r="K157" s="238"/>
      <c r="L157" s="239"/>
      <c r="M157" s="53"/>
      <c r="N157" s="60"/>
      <c r="O157" s="48"/>
      <c r="P157" s="237" t="str">
        <f>H157</f>
        <v>(1). Monitoring</v>
      </c>
      <c r="Q157" s="238"/>
      <c r="R157" s="238"/>
      <c r="S157" s="238"/>
      <c r="T157" s="239"/>
      <c r="U157" s="211"/>
      <c r="V157" s="49"/>
      <c r="W157" s="85"/>
      <c r="X157" s="231" t="s">
        <v>91</v>
      </c>
      <c r="Y157" s="232"/>
      <c r="Z157" s="232"/>
      <c r="AA157" s="233"/>
      <c r="AB157" s="174"/>
      <c r="AC157" s="90"/>
      <c r="AD157" s="98"/>
      <c r="AE157" s="118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20"/>
      <c r="AQ157" s="99"/>
    </row>
    <row r="158" spans="1:43" ht="22.5" customHeight="1" hidden="1" outlineLevel="2" thickBot="1">
      <c r="A158" s="134"/>
      <c r="B158" s="134"/>
      <c r="C158" s="73"/>
      <c r="D158" s="16"/>
      <c r="E158" s="11"/>
      <c r="F158" s="25"/>
      <c r="G158" s="63"/>
      <c r="H158" s="227" t="s">
        <v>37</v>
      </c>
      <c r="I158" s="221"/>
      <c r="J158" s="221"/>
      <c r="K158" s="221"/>
      <c r="L158" s="222"/>
      <c r="M158" s="53"/>
      <c r="N158" s="60"/>
      <c r="O158" s="48"/>
      <c r="P158" s="227" t="str">
        <f>H158</f>
        <v>(2). Database Management</v>
      </c>
      <c r="Q158" s="221"/>
      <c r="R158" s="221"/>
      <c r="S158" s="221"/>
      <c r="T158" s="222"/>
      <c r="U158" s="211"/>
      <c r="V158" s="49"/>
      <c r="W158" s="85"/>
      <c r="X158" s="243"/>
      <c r="Y158" s="244"/>
      <c r="Z158" s="244"/>
      <c r="AA158" s="245"/>
      <c r="AB158" s="174"/>
      <c r="AC158" s="90"/>
      <c r="AD158" s="98"/>
      <c r="AE158" s="118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20"/>
      <c r="AQ158" s="99"/>
    </row>
    <row r="159" spans="1:43" ht="33" customHeight="1" outlineLevel="1" collapsed="1" thickBot="1" thickTop="1">
      <c r="A159" s="131" t="s">
        <v>216</v>
      </c>
      <c r="B159" s="131" t="s">
        <v>136</v>
      </c>
      <c r="C159" s="71">
        <f>D159+E159</f>
        <v>3</v>
      </c>
      <c r="D159" s="14">
        <v>1</v>
      </c>
      <c r="E159" s="13">
        <v>2</v>
      </c>
      <c r="F159" s="23">
        <v>4</v>
      </c>
      <c r="G159" s="61"/>
      <c r="H159" s="145">
        <v>0.1</v>
      </c>
      <c r="I159" s="80">
        <v>0.03</v>
      </c>
      <c r="J159" s="80"/>
      <c r="K159" s="80"/>
      <c r="L159" s="146">
        <v>0.5</v>
      </c>
      <c r="M159" s="130">
        <f>SUM(H159:L159)</f>
        <v>0.63</v>
      </c>
      <c r="N159" s="60"/>
      <c r="O159" s="48"/>
      <c r="P159" s="145">
        <f aca="true" t="shared" si="23" ref="P159:T160">IF(H159=0,"",H159)</f>
        <v>0.1</v>
      </c>
      <c r="Q159" s="80">
        <f t="shared" si="23"/>
        <v>0.03</v>
      </c>
      <c r="R159" s="80">
        <f t="shared" si="23"/>
      </c>
      <c r="S159" s="80">
        <f t="shared" si="23"/>
      </c>
      <c r="T159" s="146">
        <f t="shared" si="23"/>
        <v>0.5</v>
      </c>
      <c r="U159" s="209">
        <f>SUM(P159:T159)</f>
        <v>0.63</v>
      </c>
      <c r="V159" s="49"/>
      <c r="W159" s="85"/>
      <c r="X159" s="166"/>
      <c r="Y159" s="185">
        <v>0.15</v>
      </c>
      <c r="Z159" s="167">
        <v>0.18</v>
      </c>
      <c r="AA159" s="168"/>
      <c r="AB159" s="169">
        <f>SUM(X159:AA159)</f>
        <v>0.32999999999999996</v>
      </c>
      <c r="AC159" s="90"/>
      <c r="AD159" s="98"/>
      <c r="AE159" s="118">
        <v>0.03</v>
      </c>
      <c r="AF159" s="119"/>
      <c r="AG159" s="119"/>
      <c r="AH159" s="119"/>
      <c r="AI159" s="119">
        <v>0.1</v>
      </c>
      <c r="AJ159" s="119"/>
      <c r="AK159" s="119"/>
      <c r="AL159" s="119"/>
      <c r="AM159" s="119"/>
      <c r="AN159" s="119"/>
      <c r="AO159" s="119">
        <v>0.05</v>
      </c>
      <c r="AP159" s="120">
        <f>SUM(AE159:AO159)</f>
        <v>0.18</v>
      </c>
      <c r="AQ159" s="99"/>
    </row>
    <row r="160" spans="1:43" ht="16.5" hidden="1" outlineLevel="2" thickBot="1">
      <c r="A160" s="132"/>
      <c r="B160" s="132"/>
      <c r="C160" s="72"/>
      <c r="D160" s="15"/>
      <c r="E160" s="10"/>
      <c r="F160" s="24"/>
      <c r="G160" s="62"/>
      <c r="H160" s="52" t="s">
        <v>9</v>
      </c>
      <c r="I160" s="1" t="s">
        <v>10</v>
      </c>
      <c r="J160" s="1"/>
      <c r="K160" s="1"/>
      <c r="L160" s="2" t="s">
        <v>11</v>
      </c>
      <c r="M160" s="5"/>
      <c r="N160" s="60"/>
      <c r="O160" s="48"/>
      <c r="P160" s="52" t="str">
        <f t="shared" si="23"/>
        <v>note 1</v>
      </c>
      <c r="Q160" s="1" t="str">
        <f t="shared" si="23"/>
        <v>note 2</v>
      </c>
      <c r="R160" s="1">
        <f t="shared" si="23"/>
      </c>
      <c r="S160" s="1">
        <f t="shared" si="23"/>
      </c>
      <c r="T160" s="2" t="str">
        <f t="shared" si="23"/>
        <v>note 3</v>
      </c>
      <c r="U160" s="210"/>
      <c r="V160" s="49"/>
      <c r="W160" s="85"/>
      <c r="X160" s="170"/>
      <c r="Y160" s="171"/>
      <c r="Z160" s="171" t="s">
        <v>75</v>
      </c>
      <c r="AA160" s="172"/>
      <c r="AB160" s="173"/>
      <c r="AC160" s="90"/>
      <c r="AD160" s="98"/>
      <c r="AE160" s="118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20"/>
      <c r="AQ160" s="99"/>
    </row>
    <row r="161" spans="1:43" ht="15.75" customHeight="1" hidden="1" outlineLevel="2">
      <c r="A161" s="132"/>
      <c r="B161" s="132"/>
      <c r="C161" s="72"/>
      <c r="D161" s="15"/>
      <c r="E161" s="10"/>
      <c r="F161" s="24"/>
      <c r="G161" s="62"/>
      <c r="H161" s="246" t="s">
        <v>21</v>
      </c>
      <c r="I161" s="247"/>
      <c r="J161" s="247"/>
      <c r="K161" s="247"/>
      <c r="L161" s="248"/>
      <c r="M161" s="53"/>
      <c r="N161" s="60"/>
      <c r="O161" s="48"/>
      <c r="P161" s="246" t="str">
        <f>H161</f>
        <v>(1). (R&amp;D, Acoustic)</v>
      </c>
      <c r="Q161" s="247"/>
      <c r="R161" s="247"/>
      <c r="S161" s="247"/>
      <c r="T161" s="248"/>
      <c r="U161" s="211"/>
      <c r="V161" s="49"/>
      <c r="W161" s="85"/>
      <c r="X161" s="251" t="s">
        <v>94</v>
      </c>
      <c r="Y161" s="252"/>
      <c r="Z161" s="252"/>
      <c r="AA161" s="253"/>
      <c r="AB161" s="174"/>
      <c r="AC161" s="90"/>
      <c r="AD161" s="98"/>
      <c r="AE161" s="118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20"/>
      <c r="AQ161" s="99"/>
    </row>
    <row r="162" spans="1:43" ht="15.75" customHeight="1" hidden="1" outlineLevel="2">
      <c r="A162" s="133"/>
      <c r="B162" s="133"/>
      <c r="C162" s="72"/>
      <c r="D162" s="15"/>
      <c r="E162" s="10"/>
      <c r="F162" s="24"/>
      <c r="G162" s="62"/>
      <c r="H162" s="237" t="s">
        <v>25</v>
      </c>
      <c r="I162" s="238"/>
      <c r="J162" s="238"/>
      <c r="K162" s="238"/>
      <c r="L162" s="239"/>
      <c r="M162" s="53"/>
      <c r="N162" s="60"/>
      <c r="O162" s="48"/>
      <c r="P162" s="237" t="str">
        <f>H162</f>
        <v>(2). Monitoring</v>
      </c>
      <c r="Q162" s="238"/>
      <c r="R162" s="238"/>
      <c r="S162" s="238"/>
      <c r="T162" s="239"/>
      <c r="U162" s="211"/>
      <c r="V162" s="49"/>
      <c r="W162" s="85"/>
      <c r="X162" s="254"/>
      <c r="Y162" s="255"/>
      <c r="Z162" s="255"/>
      <c r="AA162" s="256"/>
      <c r="AB162" s="174"/>
      <c r="AC162" s="90"/>
      <c r="AD162" s="98"/>
      <c r="AE162" s="118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20"/>
      <c r="AQ162" s="99"/>
    </row>
    <row r="163" spans="1:43" ht="15.75" customHeight="1" hidden="1" outlineLevel="2">
      <c r="A163" s="133"/>
      <c r="B163" s="133"/>
      <c r="C163" s="72"/>
      <c r="D163" s="15"/>
      <c r="E163" s="10"/>
      <c r="F163" s="24"/>
      <c r="G163" s="62"/>
      <c r="H163" s="237" t="s">
        <v>152</v>
      </c>
      <c r="I163" s="238"/>
      <c r="J163" s="238"/>
      <c r="K163" s="238"/>
      <c r="L163" s="239"/>
      <c r="M163" s="53"/>
      <c r="N163" s="60"/>
      <c r="O163" s="48"/>
      <c r="P163" s="237" t="str">
        <f>H163</f>
        <v>(3). (Support IceTop sims, IceTop calibrations, IceTop reconstruction)</v>
      </c>
      <c r="Q163" s="238"/>
      <c r="R163" s="238"/>
      <c r="S163" s="238"/>
      <c r="T163" s="239"/>
      <c r="U163" s="211"/>
      <c r="V163" s="49"/>
      <c r="W163" s="85"/>
      <c r="X163" s="240"/>
      <c r="Y163" s="241"/>
      <c r="Z163" s="241"/>
      <c r="AA163" s="242"/>
      <c r="AB163" s="174"/>
      <c r="AC163" s="90"/>
      <c r="AD163" s="98"/>
      <c r="AE163" s="118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20"/>
      <c r="AQ163" s="99"/>
    </row>
    <row r="164" spans="1:43" ht="9.75" customHeight="1" hidden="1" outlineLevel="2" thickBot="1">
      <c r="A164" s="134"/>
      <c r="B164" s="134"/>
      <c r="C164" s="73"/>
      <c r="D164" s="16"/>
      <c r="E164" s="11"/>
      <c r="F164" s="25"/>
      <c r="G164" s="63"/>
      <c r="H164" s="234"/>
      <c r="I164" s="235"/>
      <c r="J164" s="235"/>
      <c r="K164" s="235"/>
      <c r="L164" s="236"/>
      <c r="M164" s="53"/>
      <c r="N164" s="60"/>
      <c r="O164" s="48"/>
      <c r="P164" s="234"/>
      <c r="Q164" s="235"/>
      <c r="R164" s="235"/>
      <c r="S164" s="235"/>
      <c r="T164" s="236"/>
      <c r="U164" s="211"/>
      <c r="V164" s="49"/>
      <c r="W164" s="85"/>
      <c r="X164" s="223"/>
      <c r="Y164" s="249"/>
      <c r="Z164" s="249"/>
      <c r="AA164" s="250"/>
      <c r="AB164" s="174"/>
      <c r="AC164" s="90"/>
      <c r="AD164" s="98"/>
      <c r="AE164" s="118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20"/>
      <c r="AQ164" s="99"/>
    </row>
    <row r="165" spans="1:43" ht="33" customHeight="1" outlineLevel="1" collapsed="1" thickBot="1" thickTop="1">
      <c r="A165" s="131" t="s">
        <v>216</v>
      </c>
      <c r="B165" s="131" t="s">
        <v>138</v>
      </c>
      <c r="C165" s="71">
        <f>D165+E165</f>
        <v>4</v>
      </c>
      <c r="D165" s="14">
        <v>2</v>
      </c>
      <c r="E165" s="13">
        <v>2</v>
      </c>
      <c r="F165" s="23">
        <v>1</v>
      </c>
      <c r="G165" s="61"/>
      <c r="H165" s="145"/>
      <c r="I165" s="80">
        <v>0.03</v>
      </c>
      <c r="J165" s="80">
        <v>0.2</v>
      </c>
      <c r="K165" s="80">
        <v>0.2</v>
      </c>
      <c r="L165" s="146"/>
      <c r="M165" s="130">
        <f>SUM(H165:L165)</f>
        <v>0.43000000000000005</v>
      </c>
      <c r="N165" s="60"/>
      <c r="O165" s="48"/>
      <c r="P165" s="145">
        <f aca="true" t="shared" si="24" ref="P165:T166">IF(H165=0,"",H165)</f>
      </c>
      <c r="Q165" s="80">
        <f t="shared" si="24"/>
        <v>0.03</v>
      </c>
      <c r="R165" s="80">
        <f t="shared" si="24"/>
        <v>0.2</v>
      </c>
      <c r="S165" s="80">
        <f t="shared" si="24"/>
        <v>0.2</v>
      </c>
      <c r="T165" s="146">
        <f t="shared" si="24"/>
      </c>
      <c r="U165" s="209">
        <f>SUM(P165:T165)</f>
        <v>0.43000000000000005</v>
      </c>
      <c r="V165" s="49"/>
      <c r="W165" s="85"/>
      <c r="X165" s="166">
        <v>0.1</v>
      </c>
      <c r="Y165" s="185"/>
      <c r="Z165" s="167">
        <v>0.18</v>
      </c>
      <c r="AA165" s="168"/>
      <c r="AB165" s="169">
        <f>SUM(X165:AA165)</f>
        <v>0.28</v>
      </c>
      <c r="AC165" s="90"/>
      <c r="AD165" s="98"/>
      <c r="AE165" s="118">
        <v>0.03</v>
      </c>
      <c r="AF165" s="119"/>
      <c r="AG165" s="119"/>
      <c r="AH165" s="119"/>
      <c r="AI165" s="119"/>
      <c r="AJ165" s="119"/>
      <c r="AK165" s="119">
        <v>0.15</v>
      </c>
      <c r="AL165" s="119"/>
      <c r="AM165" s="119"/>
      <c r="AN165" s="119"/>
      <c r="AO165" s="119"/>
      <c r="AP165" s="120">
        <f>SUM(AE165:AO165)</f>
        <v>0.18</v>
      </c>
      <c r="AQ165" s="99"/>
    </row>
    <row r="166" spans="1:43" ht="16.5" hidden="1" outlineLevel="2" thickBot="1">
      <c r="A166" s="132"/>
      <c r="B166" s="132"/>
      <c r="C166" s="72"/>
      <c r="D166" s="15"/>
      <c r="E166" s="10"/>
      <c r="F166" s="24"/>
      <c r="G166" s="62"/>
      <c r="H166" s="52"/>
      <c r="I166" s="1" t="s">
        <v>9</v>
      </c>
      <c r="J166" s="1" t="s">
        <v>10</v>
      </c>
      <c r="K166" s="1" t="s">
        <v>11</v>
      </c>
      <c r="L166" s="2"/>
      <c r="M166" s="5"/>
      <c r="N166" s="60"/>
      <c r="O166" s="48"/>
      <c r="P166" s="52">
        <f t="shared" si="24"/>
      </c>
      <c r="Q166" s="1" t="str">
        <f t="shared" si="24"/>
        <v>note 1</v>
      </c>
      <c r="R166" s="1" t="str">
        <f t="shared" si="24"/>
        <v>note 2</v>
      </c>
      <c r="S166" s="1" t="str">
        <f t="shared" si="24"/>
        <v>note 3</v>
      </c>
      <c r="T166" s="2">
        <f t="shared" si="24"/>
      </c>
      <c r="U166" s="210"/>
      <c r="V166" s="49"/>
      <c r="W166" s="85"/>
      <c r="X166" s="170"/>
      <c r="Y166" s="171"/>
      <c r="Z166" s="171" t="s">
        <v>75</v>
      </c>
      <c r="AA166" s="172"/>
      <c r="AB166" s="173"/>
      <c r="AC166" s="90"/>
      <c r="AD166" s="98"/>
      <c r="AE166" s="118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20"/>
      <c r="AQ166" s="99"/>
    </row>
    <row r="167" spans="1:43" ht="15.75" customHeight="1" hidden="1" outlineLevel="2">
      <c r="A167" s="132"/>
      <c r="B167" s="132"/>
      <c r="C167" s="72"/>
      <c r="D167" s="15"/>
      <c r="E167" s="10"/>
      <c r="F167" s="24"/>
      <c r="G167" s="62"/>
      <c r="H167" s="246" t="s">
        <v>22</v>
      </c>
      <c r="I167" s="247"/>
      <c r="J167" s="247"/>
      <c r="K167" s="247"/>
      <c r="L167" s="248"/>
      <c r="M167" s="53"/>
      <c r="N167" s="60"/>
      <c r="O167" s="48"/>
      <c r="P167" s="246" t="str">
        <f>H167</f>
        <v>(1). Monitoring</v>
      </c>
      <c r="Q167" s="247"/>
      <c r="R167" s="247"/>
      <c r="S167" s="247"/>
      <c r="T167" s="248"/>
      <c r="U167" s="211"/>
      <c r="V167" s="49"/>
      <c r="W167" s="85"/>
      <c r="X167" s="231" t="s">
        <v>97</v>
      </c>
      <c r="Y167" s="232"/>
      <c r="Z167" s="232"/>
      <c r="AA167" s="233"/>
      <c r="AB167" s="174"/>
      <c r="AC167" s="90"/>
      <c r="AD167" s="98"/>
      <c r="AE167" s="118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20"/>
      <c r="AQ167" s="99"/>
    </row>
    <row r="168" spans="1:43" ht="15.75" customHeight="1" hidden="1" outlineLevel="2">
      <c r="A168" s="133"/>
      <c r="B168" s="133"/>
      <c r="C168" s="72"/>
      <c r="D168" s="15"/>
      <c r="E168" s="10"/>
      <c r="F168" s="24"/>
      <c r="G168" s="62"/>
      <c r="H168" s="237" t="s">
        <v>172</v>
      </c>
      <c r="I168" s="238"/>
      <c r="J168" s="238"/>
      <c r="K168" s="238"/>
      <c r="L168" s="239"/>
      <c r="M168" s="53"/>
      <c r="N168" s="60"/>
      <c r="O168" s="48"/>
      <c r="P168" s="237" t="str">
        <f>H168</f>
        <v>(2). Simulation production</v>
      </c>
      <c r="Q168" s="238"/>
      <c r="R168" s="238"/>
      <c r="S168" s="238"/>
      <c r="T168" s="239"/>
      <c r="U168" s="211"/>
      <c r="V168" s="49"/>
      <c r="W168" s="85"/>
      <c r="X168" s="240"/>
      <c r="Y168" s="241"/>
      <c r="Z168" s="241"/>
      <c r="AA168" s="242"/>
      <c r="AB168" s="174"/>
      <c r="AC168" s="90"/>
      <c r="AD168" s="98"/>
      <c r="AE168" s="118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20"/>
      <c r="AQ168" s="99"/>
    </row>
    <row r="169" spans="1:43" ht="15.75" customHeight="1" hidden="1" outlineLevel="2">
      <c r="A169" s="133"/>
      <c r="B169" s="133"/>
      <c r="C169" s="72"/>
      <c r="D169" s="15"/>
      <c r="E169" s="10"/>
      <c r="F169" s="24"/>
      <c r="G169" s="62"/>
      <c r="H169" s="237" t="s">
        <v>173</v>
      </c>
      <c r="I169" s="238"/>
      <c r="J169" s="238"/>
      <c r="K169" s="238"/>
      <c r="L169" s="239"/>
      <c r="M169" s="53"/>
      <c r="N169" s="60"/>
      <c r="O169" s="48"/>
      <c r="P169" s="237" t="str">
        <f>H169</f>
        <v>(3). verify filters</v>
      </c>
      <c r="Q169" s="238"/>
      <c r="R169" s="238"/>
      <c r="S169" s="238"/>
      <c r="T169" s="239"/>
      <c r="U169" s="211"/>
      <c r="V169" s="49"/>
      <c r="W169" s="85"/>
      <c r="X169" s="240"/>
      <c r="Y169" s="241"/>
      <c r="Z169" s="241"/>
      <c r="AA169" s="242"/>
      <c r="AB169" s="174"/>
      <c r="AC169" s="90"/>
      <c r="AD169" s="98"/>
      <c r="AE169" s="118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20"/>
      <c r="AQ169" s="99"/>
    </row>
    <row r="170" spans="1:43" ht="7.5" customHeight="1" hidden="1" outlineLevel="2" thickBot="1">
      <c r="A170" s="134"/>
      <c r="B170" s="134"/>
      <c r="C170" s="73"/>
      <c r="D170" s="16"/>
      <c r="E170" s="11"/>
      <c r="F170" s="25"/>
      <c r="G170" s="63"/>
      <c r="H170" s="234"/>
      <c r="I170" s="235"/>
      <c r="J170" s="235"/>
      <c r="K170" s="235"/>
      <c r="L170" s="236"/>
      <c r="M170" s="53"/>
      <c r="N170" s="60"/>
      <c r="O170" s="48"/>
      <c r="P170" s="234"/>
      <c r="Q170" s="235"/>
      <c r="R170" s="235"/>
      <c r="S170" s="235"/>
      <c r="T170" s="236"/>
      <c r="U170" s="211"/>
      <c r="V170" s="49"/>
      <c r="W170" s="85"/>
      <c r="X170" s="223"/>
      <c r="Y170" s="249"/>
      <c r="Z170" s="249"/>
      <c r="AA170" s="250"/>
      <c r="AB170" s="174"/>
      <c r="AC170" s="90"/>
      <c r="AD170" s="98"/>
      <c r="AE170" s="118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20"/>
      <c r="AQ170" s="99"/>
    </row>
    <row r="171" spans="1:43" ht="34.5" customHeight="1" outlineLevel="1" collapsed="1" thickBot="1" thickTop="1">
      <c r="A171" s="131" t="s">
        <v>212</v>
      </c>
      <c r="B171" s="131" t="s">
        <v>126</v>
      </c>
      <c r="C171" s="71">
        <f>D171+E171</f>
        <v>6</v>
      </c>
      <c r="D171" s="14">
        <v>4</v>
      </c>
      <c r="E171" s="13">
        <v>2</v>
      </c>
      <c r="F171" s="23">
        <v>2</v>
      </c>
      <c r="G171" s="61"/>
      <c r="H171" s="145">
        <v>0.6</v>
      </c>
      <c r="I171" s="80">
        <v>0.06</v>
      </c>
      <c r="J171" s="80">
        <v>0.7</v>
      </c>
      <c r="K171" s="80">
        <v>0.8</v>
      </c>
      <c r="L171" s="146">
        <v>0.35</v>
      </c>
      <c r="M171" s="130">
        <f>SUM(H171:L171)</f>
        <v>2.5100000000000002</v>
      </c>
      <c r="N171" s="60"/>
      <c r="O171" s="48"/>
      <c r="P171" s="145">
        <f aca="true" t="shared" si="25" ref="P171:T172">IF(H171=0,"",H171)</f>
        <v>0.6</v>
      </c>
      <c r="Q171" s="80">
        <f t="shared" si="25"/>
        <v>0.06</v>
      </c>
      <c r="R171" s="80">
        <f t="shared" si="25"/>
        <v>0.7</v>
      </c>
      <c r="S171" s="80">
        <f t="shared" si="25"/>
        <v>0.8</v>
      </c>
      <c r="T171" s="146">
        <f t="shared" si="25"/>
        <v>0.35</v>
      </c>
      <c r="U171" s="209">
        <f>SUM(P171:T171)</f>
        <v>2.5100000000000002</v>
      </c>
      <c r="V171" s="49"/>
      <c r="W171" s="85"/>
      <c r="X171" s="166">
        <f>0.15+0.25+0.25</f>
        <v>0.65</v>
      </c>
      <c r="Y171" s="167">
        <f>0.2+0.25</f>
        <v>0.45</v>
      </c>
      <c r="Z171" s="167">
        <f>0.06+0.4</f>
        <v>0.46</v>
      </c>
      <c r="AA171" s="168"/>
      <c r="AB171" s="169">
        <f>SUM(X171:AA171)</f>
        <v>1.56</v>
      </c>
      <c r="AC171" s="90"/>
      <c r="AD171" s="98"/>
      <c r="AE171" s="118">
        <v>0.06</v>
      </c>
      <c r="AF171" s="119"/>
      <c r="AG171" s="119"/>
      <c r="AH171" s="119"/>
      <c r="AI171" s="119"/>
      <c r="AJ171" s="119"/>
      <c r="AK171" s="119"/>
      <c r="AL171" s="119"/>
      <c r="AM171" s="119">
        <v>0.4</v>
      </c>
      <c r="AN171" s="119"/>
      <c r="AO171" s="119"/>
      <c r="AP171" s="120">
        <f>SUM(AE171:AO171)</f>
        <v>0.46</v>
      </c>
      <c r="AQ171" s="99"/>
    </row>
    <row r="172" spans="1:43" ht="16.5" hidden="1" outlineLevel="2" thickBot="1">
      <c r="A172" s="132"/>
      <c r="B172" s="132"/>
      <c r="C172" s="72"/>
      <c r="D172" s="15"/>
      <c r="E172" s="10"/>
      <c r="F172" s="24"/>
      <c r="G172" s="62"/>
      <c r="H172" s="52" t="s">
        <v>9</v>
      </c>
      <c r="I172" s="1" t="s">
        <v>10</v>
      </c>
      <c r="J172" s="1" t="s">
        <v>11</v>
      </c>
      <c r="K172" s="1" t="s">
        <v>12</v>
      </c>
      <c r="L172" s="2" t="s">
        <v>13</v>
      </c>
      <c r="M172" s="5"/>
      <c r="N172" s="60"/>
      <c r="O172" s="48"/>
      <c r="P172" s="52" t="str">
        <f t="shared" si="25"/>
        <v>note 1</v>
      </c>
      <c r="Q172" s="1" t="str">
        <f t="shared" si="25"/>
        <v>note 2</v>
      </c>
      <c r="R172" s="1" t="str">
        <f t="shared" si="25"/>
        <v>note 3</v>
      </c>
      <c r="S172" s="1" t="str">
        <f t="shared" si="25"/>
        <v>note 4</v>
      </c>
      <c r="T172" s="2" t="str">
        <f t="shared" si="25"/>
        <v>note 5</v>
      </c>
      <c r="U172" s="210"/>
      <c r="V172" s="49"/>
      <c r="W172" s="85"/>
      <c r="X172" s="170"/>
      <c r="Y172" s="171"/>
      <c r="Z172" s="171" t="s">
        <v>75</v>
      </c>
      <c r="AA172" s="172"/>
      <c r="AB172" s="173"/>
      <c r="AC172" s="90"/>
      <c r="AD172" s="98"/>
      <c r="AE172" s="118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20"/>
      <c r="AQ172" s="99"/>
    </row>
    <row r="173" spans="1:43" ht="27.75" customHeight="1" hidden="1" outlineLevel="2">
      <c r="A173" s="132"/>
      <c r="B173" s="132"/>
      <c r="C173" s="72"/>
      <c r="D173" s="15"/>
      <c r="E173" s="10"/>
      <c r="F173" s="24"/>
      <c r="G173" s="62"/>
      <c r="H173" s="246" t="s">
        <v>170</v>
      </c>
      <c r="I173" s="247"/>
      <c r="J173" s="247"/>
      <c r="K173" s="247"/>
      <c r="L173" s="248"/>
      <c r="M173" s="53"/>
      <c r="N173" s="60"/>
      <c r="O173" s="48"/>
      <c r="P173" s="246" t="str">
        <f>H173</f>
        <v>(1). Hulth EXEC (0.2), ICB (0.05), outreach (0.15), Walck Publicationlists / author lists (0.10), coordination with LIGO (Finley, 0.10)</v>
      </c>
      <c r="Q173" s="247"/>
      <c r="R173" s="247"/>
      <c r="S173" s="247"/>
      <c r="T173" s="248"/>
      <c r="U173" s="211"/>
      <c r="V173" s="49"/>
      <c r="W173" s="85"/>
      <c r="X173" s="231" t="s">
        <v>84</v>
      </c>
      <c r="Y173" s="232"/>
      <c r="Z173" s="232"/>
      <c r="AA173" s="233"/>
      <c r="AB173" s="174"/>
      <c r="AC173" s="90"/>
      <c r="AD173" s="98"/>
      <c r="AE173" s="118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20"/>
      <c r="AQ173" s="99"/>
    </row>
    <row r="174" spans="1:43" ht="22.5" customHeight="1" hidden="1" outlineLevel="2">
      <c r="A174" s="132"/>
      <c r="B174" s="132"/>
      <c r="C174" s="72"/>
      <c r="D174" s="15"/>
      <c r="E174" s="10"/>
      <c r="F174" s="24"/>
      <c r="G174" s="62"/>
      <c r="H174" s="237" t="s">
        <v>166</v>
      </c>
      <c r="I174" s="238"/>
      <c r="J174" s="238"/>
      <c r="K174" s="238"/>
      <c r="L174" s="239"/>
      <c r="M174" s="53"/>
      <c r="N174" s="60"/>
      <c r="O174" s="48"/>
      <c r="P174" s="237" t="str">
        <f>H174</f>
        <v>(2). Monitoring, (0.06)</v>
      </c>
      <c r="Q174" s="238"/>
      <c r="R174" s="238"/>
      <c r="S174" s="238"/>
      <c r="T174" s="239"/>
      <c r="U174" s="211"/>
      <c r="V174" s="49"/>
      <c r="W174" s="85"/>
      <c r="X174" s="240"/>
      <c r="Y174" s="241"/>
      <c r="Z174" s="241"/>
      <c r="AA174" s="242"/>
      <c r="AB174" s="174"/>
      <c r="AC174" s="90"/>
      <c r="AD174" s="98"/>
      <c r="AE174" s="118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20"/>
      <c r="AQ174" s="99"/>
    </row>
    <row r="175" spans="1:43" ht="27.75" customHeight="1" hidden="1" outlineLevel="2">
      <c r="A175" s="133"/>
      <c r="B175" s="133"/>
      <c r="C175" s="72"/>
      <c r="D175" s="15"/>
      <c r="E175" s="10"/>
      <c r="F175" s="24"/>
      <c r="G175" s="62"/>
      <c r="H175" s="237" t="s">
        <v>167</v>
      </c>
      <c r="I175" s="238"/>
      <c r="J175" s="238"/>
      <c r="K175" s="238"/>
      <c r="L175" s="239"/>
      <c r="M175" s="53"/>
      <c r="N175" s="60"/>
      <c r="O175" s="48"/>
      <c r="P175" s="237" t="str">
        <f>H175</f>
        <v>(3). Grid/simulation production and development Johansson (0.20), general GRID service (0.50)</v>
      </c>
      <c r="Q175" s="238"/>
      <c r="R175" s="238"/>
      <c r="S175" s="238"/>
      <c r="T175" s="239"/>
      <c r="U175" s="211"/>
      <c r="V175" s="49"/>
      <c r="W175" s="85"/>
      <c r="X175" s="240"/>
      <c r="Y175" s="241"/>
      <c r="Z175" s="241"/>
      <c r="AA175" s="242"/>
      <c r="AB175" s="174"/>
      <c r="AC175" s="90"/>
      <c r="AD175" s="98"/>
      <c r="AE175" s="118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20"/>
      <c r="AQ175" s="99"/>
    </row>
    <row r="176" spans="1:43" ht="27.75" customHeight="1" hidden="1" outlineLevel="2">
      <c r="A176" s="133"/>
      <c r="B176" s="133"/>
      <c r="C176" s="72"/>
      <c r="D176" s="15"/>
      <c r="E176" s="10"/>
      <c r="F176" s="24"/>
      <c r="G176" s="62"/>
      <c r="H176" s="237" t="s">
        <v>168</v>
      </c>
      <c r="I176" s="238"/>
      <c r="J176" s="238"/>
      <c r="K176" s="238"/>
      <c r="L176" s="239"/>
      <c r="M176" s="53"/>
      <c r="N176" s="60"/>
      <c r="O176" s="48"/>
      <c r="P176" s="237" t="str">
        <f>H176</f>
        <v>(4). Filters develop and verify. Danninger and Johansson (025), Seo (0.05), WG lead Low energy DeepCore Hulth (0.25), WG lead Finely (0.25)</v>
      </c>
      <c r="Q176" s="238"/>
      <c r="R176" s="238"/>
      <c r="S176" s="238"/>
      <c r="T176" s="239"/>
      <c r="U176" s="211"/>
      <c r="V176" s="49"/>
      <c r="W176" s="85"/>
      <c r="X176" s="240"/>
      <c r="Y176" s="241"/>
      <c r="Z176" s="241"/>
      <c r="AA176" s="242"/>
      <c r="AB176" s="174"/>
      <c r="AC176" s="90"/>
      <c r="AD176" s="98"/>
      <c r="AE176" s="118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20"/>
      <c r="AQ176" s="99"/>
    </row>
    <row r="177" spans="1:43" ht="21.75" customHeight="1" hidden="1" outlineLevel="2">
      <c r="A177" s="133"/>
      <c r="B177" s="133"/>
      <c r="C177" s="72"/>
      <c r="D177" s="15"/>
      <c r="E177" s="10"/>
      <c r="F177" s="24"/>
      <c r="G177" s="62"/>
      <c r="H177" s="237" t="s">
        <v>169</v>
      </c>
      <c r="I177" s="238"/>
      <c r="J177" s="238"/>
      <c r="K177" s="238"/>
      <c r="L177" s="239"/>
      <c r="M177" s="53"/>
      <c r="N177" s="60"/>
      <c r="O177" s="48"/>
      <c r="P177" s="237" t="str">
        <f>H177</f>
        <v>(5). Photonics/simulation Hultqvist (0.15) Seo (0.15), Walck (0.05)</v>
      </c>
      <c r="Q177" s="238"/>
      <c r="R177" s="238"/>
      <c r="S177" s="238"/>
      <c r="T177" s="239"/>
      <c r="U177" s="211"/>
      <c r="V177" s="49"/>
      <c r="W177" s="85"/>
      <c r="X177" s="240"/>
      <c r="Y177" s="241"/>
      <c r="Z177" s="241"/>
      <c r="AA177" s="242"/>
      <c r="AB177" s="174"/>
      <c r="AC177" s="90"/>
      <c r="AD177" s="98"/>
      <c r="AE177" s="118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20"/>
      <c r="AQ177" s="99"/>
    </row>
    <row r="178" spans="1:43" ht="9.75" customHeight="1" hidden="1" outlineLevel="2" thickBot="1">
      <c r="A178" s="134"/>
      <c r="B178" s="134"/>
      <c r="C178" s="73"/>
      <c r="D178" s="16"/>
      <c r="E178" s="11"/>
      <c r="F178" s="25"/>
      <c r="G178" s="63"/>
      <c r="H178" s="234"/>
      <c r="I178" s="235"/>
      <c r="J178" s="235"/>
      <c r="K178" s="235"/>
      <c r="L178" s="236"/>
      <c r="M178" s="53"/>
      <c r="N178" s="60"/>
      <c r="O178" s="48"/>
      <c r="P178" s="234"/>
      <c r="Q178" s="235"/>
      <c r="R178" s="235"/>
      <c r="S178" s="235"/>
      <c r="T178" s="236"/>
      <c r="U178" s="211"/>
      <c r="V178" s="49"/>
      <c r="W178" s="85"/>
      <c r="X178" s="223"/>
      <c r="Y178" s="249"/>
      <c r="Z178" s="249"/>
      <c r="AA178" s="250"/>
      <c r="AB178" s="174"/>
      <c r="AC178" s="90"/>
      <c r="AD178" s="98"/>
      <c r="AE178" s="118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20"/>
      <c r="AQ178" s="99"/>
    </row>
    <row r="179" spans="1:43" ht="33" customHeight="1" outlineLevel="1" collapsed="1" thickBot="1" thickTop="1">
      <c r="A179" s="131" t="s">
        <v>212</v>
      </c>
      <c r="B179" s="131" t="s">
        <v>137</v>
      </c>
      <c r="C179" s="71">
        <f>D179+E179</f>
        <v>4</v>
      </c>
      <c r="D179" s="14">
        <v>3</v>
      </c>
      <c r="E179" s="13">
        <v>1</v>
      </c>
      <c r="F179" s="23">
        <v>2</v>
      </c>
      <c r="G179" s="61"/>
      <c r="H179" s="145">
        <v>0.5</v>
      </c>
      <c r="I179" s="80">
        <v>0.03</v>
      </c>
      <c r="J179" s="80"/>
      <c r="K179" s="80">
        <v>0.5</v>
      </c>
      <c r="L179" s="146"/>
      <c r="M179" s="130">
        <f>SUM(H179:L179)</f>
        <v>1.03</v>
      </c>
      <c r="N179" s="60"/>
      <c r="O179" s="48"/>
      <c r="P179" s="145">
        <f aca="true" t="shared" si="26" ref="P179:T180">IF(H179=0,"",H179)</f>
        <v>0.5</v>
      </c>
      <c r="Q179" s="80">
        <f t="shared" si="26"/>
        <v>0.03</v>
      </c>
      <c r="R179" s="80">
        <f t="shared" si="26"/>
      </c>
      <c r="S179" s="80">
        <f t="shared" si="26"/>
        <v>0.5</v>
      </c>
      <c r="T179" s="146">
        <f t="shared" si="26"/>
      </c>
      <c r="U179" s="209">
        <f>SUM(P179:T179)</f>
        <v>1.03</v>
      </c>
      <c r="V179" s="49"/>
      <c r="W179" s="85"/>
      <c r="X179" s="166">
        <v>0.55</v>
      </c>
      <c r="Y179" s="185"/>
      <c r="Z179" s="167">
        <v>0.16</v>
      </c>
      <c r="AA179" s="168"/>
      <c r="AB179" s="169">
        <f>SUM(X179:AA179)</f>
        <v>0.7100000000000001</v>
      </c>
      <c r="AC179" s="90"/>
      <c r="AD179" s="98"/>
      <c r="AE179" s="118">
        <v>0.03</v>
      </c>
      <c r="AF179" s="119">
        <v>0.13</v>
      </c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20">
        <f>SUM(AE179:AO179)</f>
        <v>0.16</v>
      </c>
      <c r="AQ179" s="99"/>
    </row>
    <row r="180" spans="1:43" ht="16.5" hidden="1" outlineLevel="2" thickBot="1">
      <c r="A180" s="132"/>
      <c r="B180" s="132"/>
      <c r="C180" s="72"/>
      <c r="D180" s="15"/>
      <c r="E180" s="10"/>
      <c r="F180" s="24"/>
      <c r="G180" s="62"/>
      <c r="H180" s="52" t="s">
        <v>9</v>
      </c>
      <c r="I180" s="1" t="s">
        <v>10</v>
      </c>
      <c r="J180" s="1"/>
      <c r="K180" s="1" t="s">
        <v>11</v>
      </c>
      <c r="L180" s="2"/>
      <c r="M180" s="5"/>
      <c r="N180" s="60"/>
      <c r="O180" s="48"/>
      <c r="P180" s="52" t="str">
        <f t="shared" si="26"/>
        <v>note 1</v>
      </c>
      <c r="Q180" s="1" t="str">
        <f t="shared" si="26"/>
        <v>note 2</v>
      </c>
      <c r="R180" s="1">
        <f t="shared" si="26"/>
      </c>
      <c r="S180" s="1" t="str">
        <f t="shared" si="26"/>
        <v>note 3</v>
      </c>
      <c r="T180" s="2">
        <f t="shared" si="26"/>
      </c>
      <c r="U180" s="210"/>
      <c r="V180" s="49"/>
      <c r="W180" s="85"/>
      <c r="X180" s="170"/>
      <c r="Y180" s="171"/>
      <c r="Z180" s="171" t="s">
        <v>75</v>
      </c>
      <c r="AA180" s="172"/>
      <c r="AB180" s="173"/>
      <c r="AC180" s="90"/>
      <c r="AD180" s="98"/>
      <c r="AE180" s="118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20"/>
      <c r="AQ180" s="99"/>
    </row>
    <row r="181" spans="1:43" ht="33" customHeight="1" hidden="1" outlineLevel="2">
      <c r="A181" s="132"/>
      <c r="B181" s="132"/>
      <c r="C181" s="72"/>
      <c r="D181" s="15"/>
      <c r="E181" s="10"/>
      <c r="F181" s="24"/>
      <c r="G181" s="62"/>
      <c r="H181" s="246" t="s">
        <v>190</v>
      </c>
      <c r="I181" s="247"/>
      <c r="J181" s="247"/>
      <c r="K181" s="247"/>
      <c r="L181" s="248"/>
      <c r="M181" s="53"/>
      <c r="N181" s="60"/>
      <c r="O181" s="48"/>
      <c r="P181" s="246" t="str">
        <f>H181</f>
        <v>(1). PubCom member (Botner 0.1); SpeakersCom member (Hallgren 0.1), Acoustics R&amp;D (Hallgren 0.2), Outreach (Botner, Hallgren 0.1)</v>
      </c>
      <c r="Q181" s="247"/>
      <c r="R181" s="247"/>
      <c r="S181" s="247"/>
      <c r="T181" s="248"/>
      <c r="U181" s="211"/>
      <c r="V181" s="49"/>
      <c r="W181" s="85"/>
      <c r="X181" s="231" t="s">
        <v>95</v>
      </c>
      <c r="Y181" s="232"/>
      <c r="Z181" s="232"/>
      <c r="AA181" s="233"/>
      <c r="AB181" s="174"/>
      <c r="AC181" s="90"/>
      <c r="AD181" s="98"/>
      <c r="AE181" s="118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20"/>
      <c r="AQ181" s="99"/>
    </row>
    <row r="182" spans="1:43" ht="24" customHeight="1" hidden="1" outlineLevel="2">
      <c r="A182" s="133"/>
      <c r="B182" s="133"/>
      <c r="C182" s="72"/>
      <c r="D182" s="15"/>
      <c r="E182" s="10"/>
      <c r="F182" s="24"/>
      <c r="G182" s="62"/>
      <c r="H182" s="237" t="s">
        <v>191</v>
      </c>
      <c r="I182" s="238"/>
      <c r="J182" s="238"/>
      <c r="K182" s="238"/>
      <c r="L182" s="239"/>
      <c r="M182" s="53"/>
      <c r="N182" s="60"/>
      <c r="O182" s="48"/>
      <c r="P182" s="237" t="str">
        <f>H182</f>
        <v>(2). Monitoring, 0.03M</v>
      </c>
      <c r="Q182" s="238"/>
      <c r="R182" s="238"/>
      <c r="S182" s="238"/>
      <c r="T182" s="239"/>
      <c r="U182" s="211"/>
      <c r="V182" s="49"/>
      <c r="W182" s="85"/>
      <c r="X182" s="240"/>
      <c r="Y182" s="241"/>
      <c r="Z182" s="241"/>
      <c r="AA182" s="242"/>
      <c r="AB182" s="174"/>
      <c r="AC182" s="90"/>
      <c r="AD182" s="98"/>
      <c r="AE182" s="118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20"/>
      <c r="AQ182" s="99"/>
    </row>
    <row r="183" spans="1:43" ht="33" customHeight="1" hidden="1" outlineLevel="2">
      <c r="A183" s="133"/>
      <c r="B183" s="133"/>
      <c r="C183" s="72"/>
      <c r="D183" s="15"/>
      <c r="E183" s="10"/>
      <c r="F183" s="24"/>
      <c r="G183" s="62"/>
      <c r="H183" s="237" t="s">
        <v>192</v>
      </c>
      <c r="I183" s="238"/>
      <c r="J183" s="238"/>
      <c r="K183" s="238"/>
      <c r="L183" s="239"/>
      <c r="M183" s="53"/>
      <c r="N183" s="60"/>
      <c r="O183" s="48"/>
      <c r="P183" s="237" t="str">
        <f>H183</f>
        <v>(3). de los Heros (WIMP-wg lead, 0.25; TFT board member, 0.1); online filter development and testing 0.15 (Engdegard)</v>
      </c>
      <c r="Q183" s="238"/>
      <c r="R183" s="238"/>
      <c r="S183" s="238"/>
      <c r="T183" s="239"/>
      <c r="U183" s="211"/>
      <c r="V183" s="49"/>
      <c r="W183" s="85"/>
      <c r="X183" s="240"/>
      <c r="Y183" s="241"/>
      <c r="Z183" s="241"/>
      <c r="AA183" s="242"/>
      <c r="AB183" s="174"/>
      <c r="AC183" s="90"/>
      <c r="AD183" s="98"/>
      <c r="AE183" s="118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20"/>
      <c r="AQ183" s="99"/>
    </row>
    <row r="184" spans="1:43" ht="7.5" customHeight="1" hidden="1" outlineLevel="2" thickBot="1">
      <c r="A184" s="134"/>
      <c r="B184" s="134"/>
      <c r="C184" s="73"/>
      <c r="D184" s="16"/>
      <c r="E184" s="11"/>
      <c r="F184" s="25"/>
      <c r="G184" s="63"/>
      <c r="H184" s="234"/>
      <c r="I184" s="235"/>
      <c r="J184" s="235"/>
      <c r="K184" s="235"/>
      <c r="L184" s="236"/>
      <c r="M184" s="53"/>
      <c r="N184" s="60"/>
      <c r="O184" s="48"/>
      <c r="P184" s="234"/>
      <c r="Q184" s="235"/>
      <c r="R184" s="235"/>
      <c r="S184" s="235"/>
      <c r="T184" s="236"/>
      <c r="U184" s="211"/>
      <c r="V184" s="49"/>
      <c r="W184" s="85"/>
      <c r="X184" s="223"/>
      <c r="Y184" s="249"/>
      <c r="Z184" s="249"/>
      <c r="AA184" s="250"/>
      <c r="AB184" s="174"/>
      <c r="AC184" s="90"/>
      <c r="AD184" s="98"/>
      <c r="AE184" s="118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20"/>
      <c r="AQ184" s="99"/>
    </row>
    <row r="185" spans="1:43" ht="33" customHeight="1" outlineLevel="1" collapsed="1" thickBot="1" thickTop="1">
      <c r="A185" s="131" t="s">
        <v>217</v>
      </c>
      <c r="B185" s="131" t="s">
        <v>139</v>
      </c>
      <c r="C185" s="71">
        <f>D185+E185</f>
        <v>2</v>
      </c>
      <c r="D185" s="14">
        <v>1</v>
      </c>
      <c r="E185" s="13">
        <v>1</v>
      </c>
      <c r="F185" s="23">
        <v>0</v>
      </c>
      <c r="G185" s="61"/>
      <c r="H185" s="145"/>
      <c r="I185" s="80">
        <v>0.02</v>
      </c>
      <c r="J185" s="80"/>
      <c r="K185" s="80"/>
      <c r="L185" s="146">
        <v>0.5</v>
      </c>
      <c r="M185" s="130">
        <f>SUM(H185:L185)</f>
        <v>0.52</v>
      </c>
      <c r="N185" s="60"/>
      <c r="O185" s="48"/>
      <c r="P185" s="145">
        <f aca="true" t="shared" si="27" ref="P185:T186">IF(H185=0,"",H185)</f>
      </c>
      <c r="Q185" s="80">
        <f t="shared" si="27"/>
        <v>0.02</v>
      </c>
      <c r="R185" s="80">
        <f t="shared" si="27"/>
      </c>
      <c r="S185" s="80">
        <f t="shared" si="27"/>
      </c>
      <c r="T185" s="146">
        <f t="shared" si="27"/>
        <v>0.5</v>
      </c>
      <c r="U185" s="209">
        <f>SUM(P185:T185)</f>
        <v>0.52</v>
      </c>
      <c r="V185" s="49"/>
      <c r="W185" s="85"/>
      <c r="X185" s="166">
        <v>0.25</v>
      </c>
      <c r="Y185" s="185">
        <v>0.27</v>
      </c>
      <c r="Z185" s="167"/>
      <c r="AA185" s="168"/>
      <c r="AB185" s="169">
        <f>SUM(X185:AA185)</f>
        <v>0.52</v>
      </c>
      <c r="AC185" s="90"/>
      <c r="AD185" s="98"/>
      <c r="AE185" s="118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20"/>
      <c r="AQ185" s="99"/>
    </row>
    <row r="186" spans="1:43" ht="16.5" hidden="1" outlineLevel="2" thickBot="1">
      <c r="A186" s="132"/>
      <c r="B186" s="132"/>
      <c r="C186" s="72"/>
      <c r="D186" s="15"/>
      <c r="E186" s="10"/>
      <c r="F186" s="24"/>
      <c r="G186" s="62"/>
      <c r="H186" s="52"/>
      <c r="I186" s="1" t="s">
        <v>9</v>
      </c>
      <c r="J186" s="1"/>
      <c r="K186" s="1"/>
      <c r="L186" s="2" t="s">
        <v>10</v>
      </c>
      <c r="M186" s="5"/>
      <c r="N186" s="60"/>
      <c r="O186" s="48"/>
      <c r="P186" s="52">
        <f t="shared" si="27"/>
      </c>
      <c r="Q186" s="1" t="str">
        <f t="shared" si="27"/>
        <v>note 1</v>
      </c>
      <c r="R186" s="1">
        <f t="shared" si="27"/>
      </c>
      <c r="S186" s="1">
        <f t="shared" si="27"/>
      </c>
      <c r="T186" s="2" t="str">
        <f t="shared" si="27"/>
        <v>note 2</v>
      </c>
      <c r="U186" s="210"/>
      <c r="V186" s="49"/>
      <c r="W186" s="85"/>
      <c r="X186" s="170"/>
      <c r="Y186" s="171"/>
      <c r="Z186" s="171"/>
      <c r="AA186" s="172"/>
      <c r="AB186" s="173"/>
      <c r="AC186" s="90"/>
      <c r="AD186" s="98"/>
      <c r="AE186" s="118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20"/>
      <c r="AQ186" s="99"/>
    </row>
    <row r="187" spans="1:43" ht="27" customHeight="1" hidden="1" outlineLevel="2">
      <c r="A187" s="132"/>
      <c r="B187" s="132"/>
      <c r="C187" s="72"/>
      <c r="D187" s="15"/>
      <c r="E187" s="10"/>
      <c r="F187" s="24"/>
      <c r="G187" s="62"/>
      <c r="H187" s="246" t="s">
        <v>28</v>
      </c>
      <c r="I187" s="247"/>
      <c r="J187" s="247"/>
      <c r="K187" s="247"/>
      <c r="L187" s="248"/>
      <c r="M187" s="53"/>
      <c r="N187" s="60"/>
      <c r="O187" s="48"/>
      <c r="P187" s="246" t="str">
        <f>H187</f>
        <v>(1). Monitoring
(2). Yellow Book</v>
      </c>
      <c r="Q187" s="247"/>
      <c r="R187" s="247"/>
      <c r="S187" s="247"/>
      <c r="T187" s="248"/>
      <c r="U187" s="211"/>
      <c r="V187" s="49"/>
      <c r="W187" s="85"/>
      <c r="X187" s="231"/>
      <c r="Y187" s="232"/>
      <c r="Z187" s="232"/>
      <c r="AA187" s="233"/>
      <c r="AB187" s="174"/>
      <c r="AC187" s="90"/>
      <c r="AD187" s="98"/>
      <c r="AE187" s="118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20"/>
      <c r="AQ187" s="99"/>
    </row>
    <row r="188" spans="1:43" ht="9" customHeight="1" hidden="1" outlineLevel="2" thickBot="1">
      <c r="A188" s="134"/>
      <c r="B188" s="134"/>
      <c r="C188" s="73"/>
      <c r="D188" s="16"/>
      <c r="E188" s="11"/>
      <c r="F188" s="25"/>
      <c r="G188" s="63"/>
      <c r="H188" s="234"/>
      <c r="I188" s="235"/>
      <c r="J188" s="235"/>
      <c r="K188" s="235"/>
      <c r="L188" s="236"/>
      <c r="M188" s="53"/>
      <c r="N188" s="60"/>
      <c r="O188" s="48"/>
      <c r="P188" s="234"/>
      <c r="Q188" s="235"/>
      <c r="R188" s="235"/>
      <c r="S188" s="235"/>
      <c r="T188" s="236"/>
      <c r="U188" s="211"/>
      <c r="V188" s="49"/>
      <c r="W188" s="85"/>
      <c r="X188" s="223"/>
      <c r="Y188" s="249"/>
      <c r="Z188" s="249"/>
      <c r="AA188" s="250"/>
      <c r="AB188" s="174"/>
      <c r="AC188" s="90"/>
      <c r="AD188" s="98"/>
      <c r="AE188" s="118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20"/>
      <c r="AQ188" s="99"/>
    </row>
    <row r="189" spans="1:43" ht="34.5" customHeight="1" outlineLevel="1" collapsed="1" thickBot="1" thickTop="1">
      <c r="A189" s="131" t="s">
        <v>208</v>
      </c>
      <c r="B189" s="131" t="s">
        <v>134</v>
      </c>
      <c r="C189" s="71">
        <f>D189+E189</f>
        <v>3</v>
      </c>
      <c r="D189" s="14">
        <v>2</v>
      </c>
      <c r="E189" s="13">
        <v>1</v>
      </c>
      <c r="F189" s="23">
        <v>3</v>
      </c>
      <c r="G189" s="61"/>
      <c r="H189" s="145"/>
      <c r="I189" s="80">
        <v>0.12</v>
      </c>
      <c r="J189" s="80"/>
      <c r="K189" s="80"/>
      <c r="L189" s="146">
        <v>0.5</v>
      </c>
      <c r="M189" s="130">
        <f>SUM(H189:L189)</f>
        <v>0.62</v>
      </c>
      <c r="N189" s="60"/>
      <c r="O189" s="48"/>
      <c r="P189" s="145">
        <f aca="true" t="shared" si="28" ref="P189:T190">IF(H189=0,"",H189)</f>
      </c>
      <c r="Q189" s="80">
        <f t="shared" si="28"/>
        <v>0.12</v>
      </c>
      <c r="R189" s="80">
        <f t="shared" si="28"/>
      </c>
      <c r="S189" s="80">
        <f t="shared" si="28"/>
      </c>
      <c r="T189" s="146">
        <f t="shared" si="28"/>
        <v>0.5</v>
      </c>
      <c r="U189" s="209">
        <f>SUM(P189:T189)</f>
        <v>0.62</v>
      </c>
      <c r="V189" s="49"/>
      <c r="W189" s="85"/>
      <c r="X189" s="166"/>
      <c r="Y189" s="185">
        <v>0.15</v>
      </c>
      <c r="Z189" s="167">
        <v>0.27</v>
      </c>
      <c r="AA189" s="168"/>
      <c r="AB189" s="169">
        <f>SUM(X189:AA189)</f>
        <v>0.42000000000000004</v>
      </c>
      <c r="AC189" s="90"/>
      <c r="AD189" s="98"/>
      <c r="AE189" s="118">
        <v>0.02</v>
      </c>
      <c r="AF189" s="119">
        <v>0.1</v>
      </c>
      <c r="AG189" s="119"/>
      <c r="AH189" s="119"/>
      <c r="AI189" s="119"/>
      <c r="AJ189" s="119"/>
      <c r="AK189" s="119"/>
      <c r="AL189" s="119"/>
      <c r="AM189" s="119"/>
      <c r="AN189" s="119">
        <v>0.15</v>
      </c>
      <c r="AO189" s="119"/>
      <c r="AP189" s="120">
        <f>SUM(AE189:AO189)</f>
        <v>0.27</v>
      </c>
      <c r="AQ189" s="99"/>
    </row>
    <row r="190" spans="1:43" ht="23.25" customHeight="1" hidden="1" outlineLevel="2" thickBot="1">
      <c r="A190" s="132"/>
      <c r="B190" s="132"/>
      <c r="C190" s="72"/>
      <c r="D190" s="15"/>
      <c r="E190" s="10"/>
      <c r="F190" s="24"/>
      <c r="G190" s="62"/>
      <c r="H190" s="52"/>
      <c r="I190" s="1" t="s">
        <v>9</v>
      </c>
      <c r="J190" s="1"/>
      <c r="K190" s="1"/>
      <c r="L190" s="2" t="s">
        <v>10</v>
      </c>
      <c r="M190" s="5"/>
      <c r="N190" s="60"/>
      <c r="O190" s="48"/>
      <c r="P190" s="52">
        <f t="shared" si="28"/>
      </c>
      <c r="Q190" s="1" t="str">
        <f t="shared" si="28"/>
        <v>note 1</v>
      </c>
      <c r="R190" s="1">
        <f t="shared" si="28"/>
      </c>
      <c r="S190" s="1">
        <f t="shared" si="28"/>
      </c>
      <c r="T190" s="2" t="str">
        <f t="shared" si="28"/>
        <v>note 2</v>
      </c>
      <c r="U190" s="210"/>
      <c r="V190" s="49"/>
      <c r="W190" s="85"/>
      <c r="X190" s="170"/>
      <c r="Y190" s="171"/>
      <c r="Z190" s="171" t="s">
        <v>75</v>
      </c>
      <c r="AA190" s="172"/>
      <c r="AB190" s="173"/>
      <c r="AC190" s="90"/>
      <c r="AD190" s="98"/>
      <c r="AE190" s="118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20"/>
      <c r="AQ190" s="99"/>
    </row>
    <row r="191" spans="1:43" ht="26.25" customHeight="1" hidden="1" outlineLevel="2">
      <c r="A191" s="132"/>
      <c r="B191" s="132"/>
      <c r="C191" s="72"/>
      <c r="D191" s="15"/>
      <c r="E191" s="10"/>
      <c r="F191" s="24"/>
      <c r="G191" s="62"/>
      <c r="H191" s="246" t="s">
        <v>145</v>
      </c>
      <c r="I191" s="247"/>
      <c r="J191" s="247"/>
      <c r="K191" s="247"/>
      <c r="L191" s="248"/>
      <c r="M191" s="53"/>
      <c r="N191" s="60"/>
      <c r="O191" s="48"/>
      <c r="P191" s="246" t="str">
        <f>H191</f>
        <v>(1). Flasher Runs (student 0.1); Monitoring (0.02)</v>
      </c>
      <c r="Q191" s="247"/>
      <c r="R191" s="247"/>
      <c r="S191" s="247"/>
      <c r="T191" s="248"/>
      <c r="U191" s="211"/>
      <c r="V191" s="49"/>
      <c r="W191" s="85"/>
      <c r="X191" s="231" t="s">
        <v>92</v>
      </c>
      <c r="Y191" s="232"/>
      <c r="Z191" s="232"/>
      <c r="AA191" s="233"/>
      <c r="AB191" s="174"/>
      <c r="AC191" s="90"/>
      <c r="AD191" s="98"/>
      <c r="AE191" s="118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20"/>
      <c r="AQ191" s="99"/>
    </row>
    <row r="192" spans="1:43" ht="26.25" customHeight="1" hidden="1" outlineLevel="2" thickBot="1">
      <c r="A192" s="134"/>
      <c r="B192" s="134"/>
      <c r="C192" s="73"/>
      <c r="D192" s="16"/>
      <c r="E192" s="11"/>
      <c r="F192" s="25"/>
      <c r="G192" s="63"/>
      <c r="H192" s="227" t="s">
        <v>146</v>
      </c>
      <c r="I192" s="221"/>
      <c r="J192" s="221"/>
      <c r="K192" s="221"/>
      <c r="L192" s="222"/>
      <c r="M192" s="53"/>
      <c r="N192" s="60"/>
      <c r="O192" s="48"/>
      <c r="P192" s="227" t="str">
        <f>H192</f>
        <v>(2). Andreas Gross “low-level analysis” coordination role</v>
      </c>
      <c r="Q192" s="221"/>
      <c r="R192" s="221"/>
      <c r="S192" s="221"/>
      <c r="T192" s="222"/>
      <c r="U192" s="211"/>
      <c r="V192" s="49"/>
      <c r="W192" s="85"/>
      <c r="X192" s="243"/>
      <c r="Y192" s="244"/>
      <c r="Z192" s="244"/>
      <c r="AA192" s="245"/>
      <c r="AB192" s="174"/>
      <c r="AC192" s="90"/>
      <c r="AD192" s="98"/>
      <c r="AE192" s="118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20"/>
      <c r="AQ192" s="99"/>
    </row>
    <row r="193" spans="1:43" ht="34.5" customHeight="1" outlineLevel="1" collapsed="1" thickBot="1" thickTop="1">
      <c r="A193" s="131" t="s">
        <v>215</v>
      </c>
      <c r="B193" s="131" t="s">
        <v>135</v>
      </c>
      <c r="C193" s="71">
        <f>D193+E193</f>
        <v>3</v>
      </c>
      <c r="D193" s="14">
        <v>1</v>
      </c>
      <c r="E193" s="13">
        <v>2</v>
      </c>
      <c r="F193" s="23">
        <v>3</v>
      </c>
      <c r="G193" s="61"/>
      <c r="H193" s="145"/>
      <c r="I193" s="80">
        <v>0.03</v>
      </c>
      <c r="J193" s="80"/>
      <c r="K193" s="80">
        <v>0.4</v>
      </c>
      <c r="L193" s="146">
        <v>0.6</v>
      </c>
      <c r="M193" s="130">
        <f>SUM(H193:L193)</f>
        <v>1.03</v>
      </c>
      <c r="N193" s="60"/>
      <c r="O193" s="48"/>
      <c r="P193" s="145">
        <f aca="true" t="shared" si="29" ref="P193:T194">IF(H193=0,"",H193)</f>
      </c>
      <c r="Q193" s="80">
        <f t="shared" si="29"/>
        <v>0.03</v>
      </c>
      <c r="R193" s="80">
        <f t="shared" si="29"/>
      </c>
      <c r="S193" s="80">
        <f t="shared" si="29"/>
        <v>0.4</v>
      </c>
      <c r="T193" s="146">
        <f t="shared" si="29"/>
        <v>0.6</v>
      </c>
      <c r="U193" s="209">
        <f>SUM(P193:T193)</f>
        <v>1.03</v>
      </c>
      <c r="V193" s="49"/>
      <c r="W193" s="85"/>
      <c r="X193" s="166">
        <v>0.45</v>
      </c>
      <c r="Y193" s="185">
        <v>0.2</v>
      </c>
      <c r="Z193" s="167">
        <v>0.38</v>
      </c>
      <c r="AA193" s="168"/>
      <c r="AB193" s="169">
        <f>SUM(X193:AA193)</f>
        <v>1.03</v>
      </c>
      <c r="AC193" s="90"/>
      <c r="AD193" s="98"/>
      <c r="AE193" s="118">
        <v>0.03</v>
      </c>
      <c r="AF193" s="119"/>
      <c r="AG193" s="119"/>
      <c r="AH193" s="119"/>
      <c r="AI193" s="119"/>
      <c r="AJ193" s="119"/>
      <c r="AK193" s="119">
        <v>0.15</v>
      </c>
      <c r="AL193" s="119"/>
      <c r="AM193" s="119">
        <v>0.2</v>
      </c>
      <c r="AN193" s="119"/>
      <c r="AO193" s="119"/>
      <c r="AP193" s="120">
        <f>SUM(AE193:AO193)</f>
        <v>0.38</v>
      </c>
      <c r="AQ193" s="99"/>
    </row>
    <row r="194" spans="1:43" ht="16.5" hidden="1" outlineLevel="2" thickBot="1">
      <c r="A194" s="132"/>
      <c r="B194" s="132"/>
      <c r="C194" s="72"/>
      <c r="D194" s="15"/>
      <c r="E194" s="10"/>
      <c r="F194" s="24"/>
      <c r="G194" s="62"/>
      <c r="H194" s="52"/>
      <c r="I194" s="1" t="s">
        <v>9</v>
      </c>
      <c r="J194" s="1"/>
      <c r="K194" s="1" t="s">
        <v>10</v>
      </c>
      <c r="L194" s="2" t="s">
        <v>11</v>
      </c>
      <c r="M194" s="5"/>
      <c r="N194" s="60"/>
      <c r="O194" s="48"/>
      <c r="P194" s="52">
        <f t="shared" si="29"/>
      </c>
      <c r="Q194" s="1" t="str">
        <f t="shared" si="29"/>
        <v>note 1</v>
      </c>
      <c r="R194" s="1">
        <f t="shared" si="29"/>
      </c>
      <c r="S194" s="1" t="str">
        <f t="shared" si="29"/>
        <v>note 2</v>
      </c>
      <c r="T194" s="2" t="str">
        <f t="shared" si="29"/>
        <v>note 3</v>
      </c>
      <c r="U194" s="210"/>
      <c r="V194" s="49"/>
      <c r="W194" s="85"/>
      <c r="X194" s="170"/>
      <c r="Y194" s="171"/>
      <c r="Z194" s="171" t="s">
        <v>75</v>
      </c>
      <c r="AA194" s="172"/>
      <c r="AB194" s="173"/>
      <c r="AC194" s="90"/>
      <c r="AD194" s="98"/>
      <c r="AE194" s="118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20"/>
      <c r="AQ194" s="99"/>
    </row>
    <row r="195" spans="1:43" ht="27" customHeight="1" hidden="1" outlineLevel="2">
      <c r="A195" s="132"/>
      <c r="B195" s="132"/>
      <c r="C195" s="72"/>
      <c r="D195" s="15"/>
      <c r="E195" s="10"/>
      <c r="F195" s="24"/>
      <c r="G195" s="62"/>
      <c r="H195" s="246" t="s">
        <v>27</v>
      </c>
      <c r="I195" s="247"/>
      <c r="J195" s="247"/>
      <c r="K195" s="247"/>
      <c r="L195" s="248"/>
      <c r="M195" s="53"/>
      <c r="N195" s="60"/>
      <c r="O195" s="48"/>
      <c r="P195" s="246" t="str">
        <f>H195</f>
        <v>(1). Monitoring
(2). EHE-wg lead (Yoshida, 0.25); EHE filters (M. Ono, 0.15)</v>
      </c>
      <c r="Q195" s="247"/>
      <c r="R195" s="247"/>
      <c r="S195" s="247"/>
      <c r="T195" s="248"/>
      <c r="U195" s="211"/>
      <c r="V195" s="49"/>
      <c r="W195" s="85"/>
      <c r="X195" s="231" t="s">
        <v>93</v>
      </c>
      <c r="Y195" s="232"/>
      <c r="Z195" s="232"/>
      <c r="AA195" s="233"/>
      <c r="AB195" s="174"/>
      <c r="AC195" s="90"/>
      <c r="AD195" s="98"/>
      <c r="AE195" s="118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20"/>
      <c r="AQ195" s="99"/>
    </row>
    <row r="196" spans="1:43" ht="20.25" customHeight="1" hidden="1" outlineLevel="2" thickBot="1">
      <c r="A196" s="134"/>
      <c r="B196" s="134"/>
      <c r="C196" s="73"/>
      <c r="D196" s="16"/>
      <c r="E196" s="11"/>
      <c r="F196" s="25"/>
      <c r="G196" s="63"/>
      <c r="H196" s="227" t="s">
        <v>31</v>
      </c>
      <c r="I196" s="221"/>
      <c r="J196" s="221"/>
      <c r="K196" s="221"/>
      <c r="L196" s="222"/>
      <c r="M196" s="53"/>
      <c r="N196" s="60"/>
      <c r="O196" s="48"/>
      <c r="P196" s="227" t="str">
        <f>H196</f>
        <v>(3), Maintain Romeo; EHE simulation</v>
      </c>
      <c r="Q196" s="221"/>
      <c r="R196" s="221"/>
      <c r="S196" s="221"/>
      <c r="T196" s="222"/>
      <c r="U196" s="211"/>
      <c r="V196" s="49"/>
      <c r="W196" s="85"/>
      <c r="X196" s="243"/>
      <c r="Y196" s="244"/>
      <c r="Z196" s="244"/>
      <c r="AA196" s="245"/>
      <c r="AB196" s="174"/>
      <c r="AC196" s="90"/>
      <c r="AD196" s="98"/>
      <c r="AE196" s="118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20"/>
      <c r="AQ196" s="99"/>
    </row>
    <row r="197" spans="1:43" ht="33" customHeight="1" outlineLevel="1" collapsed="1" thickBot="1" thickTop="1">
      <c r="A197" s="131" t="s">
        <v>211</v>
      </c>
      <c r="B197" s="131" t="s">
        <v>140</v>
      </c>
      <c r="C197" s="71">
        <f>D197+E197</f>
        <v>2</v>
      </c>
      <c r="D197" s="14">
        <v>1</v>
      </c>
      <c r="E197" s="13">
        <v>1</v>
      </c>
      <c r="F197" s="23">
        <v>2</v>
      </c>
      <c r="G197" s="61"/>
      <c r="H197" s="145">
        <v>0.1</v>
      </c>
      <c r="I197" s="80">
        <v>0.03</v>
      </c>
      <c r="J197" s="80"/>
      <c r="K197" s="80"/>
      <c r="L197" s="146">
        <v>0.25</v>
      </c>
      <c r="M197" s="130">
        <f>SUM(H197:L197)</f>
        <v>0.38</v>
      </c>
      <c r="N197" s="60"/>
      <c r="O197" s="48"/>
      <c r="P197" s="145">
        <f aca="true" t="shared" si="30" ref="P197:T198">IF(H197=0,"",H197)</f>
        <v>0.1</v>
      </c>
      <c r="Q197" s="80">
        <f t="shared" si="30"/>
        <v>0.03</v>
      </c>
      <c r="R197" s="80">
        <f t="shared" si="30"/>
      </c>
      <c r="S197" s="80">
        <f t="shared" si="30"/>
      </c>
      <c r="T197" s="146">
        <f t="shared" si="30"/>
        <v>0.25</v>
      </c>
      <c r="U197" s="209">
        <f>SUM(P197:T197)</f>
        <v>0.38</v>
      </c>
      <c r="V197" s="49"/>
      <c r="W197" s="85"/>
      <c r="X197" s="166"/>
      <c r="Y197" s="185">
        <v>0.3</v>
      </c>
      <c r="Z197" s="167">
        <v>0.03</v>
      </c>
      <c r="AA197" s="168"/>
      <c r="AB197" s="169">
        <f>SUM(X197:AA197)</f>
        <v>0.32999999999999996</v>
      </c>
      <c r="AC197" s="90"/>
      <c r="AD197" s="98"/>
      <c r="AE197" s="118">
        <v>0.03</v>
      </c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20">
        <f>SUM(AE197:AO197)</f>
        <v>0.03</v>
      </c>
      <c r="AQ197" s="99"/>
    </row>
    <row r="198" spans="1:43" ht="16.5" hidden="1" outlineLevel="2" thickBot="1">
      <c r="A198" s="7"/>
      <c r="B198" s="7"/>
      <c r="C198" s="72"/>
      <c r="D198" s="15"/>
      <c r="E198" s="10"/>
      <c r="F198" s="24"/>
      <c r="G198" s="62"/>
      <c r="H198" s="1" t="s">
        <v>9</v>
      </c>
      <c r="I198" s="1" t="s">
        <v>10</v>
      </c>
      <c r="J198" s="1"/>
      <c r="K198" s="1"/>
      <c r="L198" s="1" t="s">
        <v>11</v>
      </c>
      <c r="M198" s="2"/>
      <c r="N198" s="60"/>
      <c r="O198" s="48"/>
      <c r="P198" s="52" t="str">
        <f t="shared" si="30"/>
        <v>note 1</v>
      </c>
      <c r="Q198" s="1" t="str">
        <f t="shared" si="30"/>
        <v>note 2</v>
      </c>
      <c r="R198" s="1">
        <f t="shared" si="30"/>
      </c>
      <c r="S198" s="1">
        <f t="shared" si="30"/>
      </c>
      <c r="T198" s="2" t="str">
        <f t="shared" si="30"/>
        <v>note 3</v>
      </c>
      <c r="U198" s="1"/>
      <c r="V198" s="49"/>
      <c r="W198" s="85"/>
      <c r="X198" s="183"/>
      <c r="Y198" s="186"/>
      <c r="Z198" s="171" t="s">
        <v>75</v>
      </c>
      <c r="AA198" s="184"/>
      <c r="AB198" s="175"/>
      <c r="AC198" s="90"/>
      <c r="AD198" s="98"/>
      <c r="AE198" s="118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20"/>
      <c r="AQ198" s="99"/>
    </row>
    <row r="199" spans="1:43" ht="15.75" customHeight="1" hidden="1" outlineLevel="2" thickBot="1">
      <c r="A199" s="7"/>
      <c r="B199" s="7"/>
      <c r="C199" s="72"/>
      <c r="D199" s="15"/>
      <c r="E199" s="10"/>
      <c r="F199" s="24"/>
      <c r="G199" s="62"/>
      <c r="H199" s="278" t="s">
        <v>219</v>
      </c>
      <c r="I199" s="279"/>
      <c r="J199" s="279"/>
      <c r="K199" s="279"/>
      <c r="L199" s="280"/>
      <c r="M199" s="129"/>
      <c r="N199" s="60"/>
      <c r="O199" s="48"/>
      <c r="P199" s="278" t="str">
        <f>H199</f>
        <v>(1). Acoustic R&amp;D, 0.1</v>
      </c>
      <c r="Q199" s="279"/>
      <c r="R199" s="279"/>
      <c r="S199" s="279"/>
      <c r="T199" s="280"/>
      <c r="U199" s="215"/>
      <c r="V199" s="49"/>
      <c r="W199" s="85"/>
      <c r="X199" s="231" t="s">
        <v>96</v>
      </c>
      <c r="Y199" s="232"/>
      <c r="Z199" s="232"/>
      <c r="AA199" s="233"/>
      <c r="AB199" s="175"/>
      <c r="AC199" s="90"/>
      <c r="AD199" s="98"/>
      <c r="AE199" s="118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20"/>
      <c r="AQ199" s="99"/>
    </row>
    <row r="200" spans="1:43" ht="15.75" customHeight="1" hidden="1" outlineLevel="2" thickBot="1">
      <c r="A200" s="7"/>
      <c r="B200" s="7"/>
      <c r="C200" s="72"/>
      <c r="D200" s="15"/>
      <c r="E200" s="10"/>
      <c r="F200" s="24"/>
      <c r="G200" s="62"/>
      <c r="H200" s="278" t="s">
        <v>220</v>
      </c>
      <c r="I200" s="279"/>
      <c r="J200" s="279"/>
      <c r="K200" s="279"/>
      <c r="L200" s="280"/>
      <c r="M200" s="55"/>
      <c r="N200" s="60"/>
      <c r="O200" s="48"/>
      <c r="P200" s="194"/>
      <c r="Q200" s="195"/>
      <c r="R200" s="195"/>
      <c r="S200" s="195"/>
      <c r="T200" s="196"/>
      <c r="U200" s="215"/>
      <c r="V200" s="49"/>
      <c r="W200" s="85"/>
      <c r="X200" s="191"/>
      <c r="Y200" s="192"/>
      <c r="Z200" s="192"/>
      <c r="AA200" s="193"/>
      <c r="AB200" s="175"/>
      <c r="AC200" s="90"/>
      <c r="AD200" s="98"/>
      <c r="AE200" s="118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20"/>
      <c r="AQ200" s="99"/>
    </row>
    <row r="201" spans="1:43" ht="15.75" customHeight="1" hidden="1" outlineLevel="2">
      <c r="A201" s="7"/>
      <c r="B201" s="7"/>
      <c r="C201" s="72"/>
      <c r="D201" s="15"/>
      <c r="E201" s="10"/>
      <c r="F201" s="24"/>
      <c r="G201" s="62"/>
      <c r="H201" s="237" t="s">
        <v>221</v>
      </c>
      <c r="I201" s="238"/>
      <c r="J201" s="238"/>
      <c r="K201" s="238"/>
      <c r="L201" s="239"/>
      <c r="M201" s="55"/>
      <c r="N201" s="60"/>
      <c r="O201" s="48"/>
      <c r="P201" s="237" t="str">
        <f>H201</f>
        <v>(3). SLF, LE, E recos (development)</v>
      </c>
      <c r="Q201" s="238"/>
      <c r="R201" s="238"/>
      <c r="S201" s="238"/>
      <c r="T201" s="239"/>
      <c r="U201" s="215"/>
      <c r="V201" s="49"/>
      <c r="W201" s="85"/>
      <c r="X201" s="231" t="s">
        <v>96</v>
      </c>
      <c r="Y201" s="232"/>
      <c r="Z201" s="232"/>
      <c r="AA201" s="233"/>
      <c r="AB201" s="175"/>
      <c r="AC201" s="90"/>
      <c r="AD201" s="98"/>
      <c r="AE201" s="118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20"/>
      <c r="AQ201" s="99"/>
    </row>
    <row r="202" spans="1:43" ht="9" customHeight="1" hidden="1" outlineLevel="2" thickBot="1">
      <c r="A202" s="4"/>
      <c r="B202" s="4"/>
      <c r="C202" s="73"/>
      <c r="D202" s="16"/>
      <c r="E202" s="11"/>
      <c r="F202" s="25"/>
      <c r="G202" s="63"/>
      <c r="H202" s="234"/>
      <c r="I202" s="235"/>
      <c r="J202" s="235"/>
      <c r="K202" s="235"/>
      <c r="L202" s="235"/>
      <c r="M202" s="56"/>
      <c r="N202" s="60"/>
      <c r="O202" s="48"/>
      <c r="P202" s="234"/>
      <c r="Q202" s="235"/>
      <c r="R202" s="235"/>
      <c r="S202" s="235"/>
      <c r="T202" s="235"/>
      <c r="U202" s="216"/>
      <c r="V202" s="49"/>
      <c r="W202" s="85"/>
      <c r="X202" s="183"/>
      <c r="Y202" s="184"/>
      <c r="Z202" s="184"/>
      <c r="AA202" s="184"/>
      <c r="AB202" s="175"/>
      <c r="AC202" s="90"/>
      <c r="AD202" s="98"/>
      <c r="AE202" s="118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20"/>
      <c r="AQ202" s="99"/>
    </row>
    <row r="203" spans="1:43" ht="30" customHeight="1" thickBot="1" thickTop="1">
      <c r="A203" s="110"/>
      <c r="B203" s="110" t="s">
        <v>30</v>
      </c>
      <c r="C203" s="75">
        <f>SUM(C90:C197)</f>
        <v>57</v>
      </c>
      <c r="D203" s="20">
        <f>SUM(D90:D197)</f>
        <v>33</v>
      </c>
      <c r="E203" s="19">
        <f>SUM(E90:E197)</f>
        <v>24</v>
      </c>
      <c r="F203" s="27">
        <f>SUM(F90:F197)</f>
        <v>64</v>
      </c>
      <c r="G203" s="65"/>
      <c r="H203" s="148">
        <f aca="true" t="shared" si="31" ref="H203:M203">SUM(H90:H202)</f>
        <v>3.9500000000000006</v>
      </c>
      <c r="I203" s="143">
        <f t="shared" si="31"/>
        <v>3.3449999999999984</v>
      </c>
      <c r="J203" s="143">
        <f t="shared" si="31"/>
        <v>7.000000000000001</v>
      </c>
      <c r="K203" s="143">
        <f t="shared" si="31"/>
        <v>4.1000000000000005</v>
      </c>
      <c r="L203" s="149">
        <f t="shared" si="31"/>
        <v>6.299999999999999</v>
      </c>
      <c r="M203" s="107">
        <f t="shared" si="31"/>
        <v>24.695</v>
      </c>
      <c r="N203" s="60"/>
      <c r="O203" s="48"/>
      <c r="P203" s="148">
        <f aca="true" t="shared" si="32" ref="P203:U203">SUM(P90:P202)</f>
        <v>3.9500000000000006</v>
      </c>
      <c r="Q203" s="143">
        <f t="shared" si="32"/>
        <v>3.3449999999999984</v>
      </c>
      <c r="R203" s="143">
        <f t="shared" si="32"/>
        <v>7.000000000000001</v>
      </c>
      <c r="S203" s="143">
        <f t="shared" si="32"/>
        <v>4.1000000000000005</v>
      </c>
      <c r="T203" s="149">
        <f t="shared" si="32"/>
        <v>6.299999999999999</v>
      </c>
      <c r="U203" s="217">
        <f t="shared" si="32"/>
        <v>24.695</v>
      </c>
      <c r="V203" s="49"/>
      <c r="W203" s="85"/>
      <c r="X203" s="187">
        <f>SUM(X90:X202)</f>
        <v>5.700000000000001</v>
      </c>
      <c r="Y203" s="188">
        <f>SUM(Y90:Y202)</f>
        <v>6.245000000000001</v>
      </c>
      <c r="Z203" s="188">
        <f>SUM(Z90:Z202)</f>
        <v>7.654999999999998</v>
      </c>
      <c r="AA203" s="189">
        <f>SUM(AA90:AA202)</f>
        <v>3.1</v>
      </c>
      <c r="AB203" s="190">
        <f>SUM(X203:AA203)</f>
        <v>22.700000000000003</v>
      </c>
      <c r="AC203" s="90"/>
      <c r="AD203" s="98"/>
      <c r="AE203" s="121">
        <f aca="true" t="shared" si="33" ref="AE203:AP203">SUM(AE90:AE202)</f>
        <v>0.7250000000000003</v>
      </c>
      <c r="AF203" s="122">
        <f t="shared" si="33"/>
        <v>0.23</v>
      </c>
      <c r="AG203" s="122">
        <f t="shared" si="33"/>
        <v>0.7</v>
      </c>
      <c r="AH203" s="122">
        <f t="shared" si="33"/>
        <v>0.3</v>
      </c>
      <c r="AI203" s="122">
        <f t="shared" si="33"/>
        <v>1.85</v>
      </c>
      <c r="AJ203" s="122">
        <f t="shared" si="33"/>
        <v>0.3</v>
      </c>
      <c r="AK203" s="122">
        <f t="shared" si="33"/>
        <v>1.2999999999999998</v>
      </c>
      <c r="AL203" s="122">
        <f t="shared" si="33"/>
        <v>0.7</v>
      </c>
      <c r="AM203" s="122">
        <f t="shared" si="33"/>
        <v>1.1500000000000001</v>
      </c>
      <c r="AN203" s="122">
        <f t="shared" si="33"/>
        <v>0.15</v>
      </c>
      <c r="AO203" s="122">
        <f t="shared" si="33"/>
        <v>0.25</v>
      </c>
      <c r="AP203" s="123">
        <f t="shared" si="33"/>
        <v>7.654999999999999</v>
      </c>
      <c r="AQ203" s="99"/>
    </row>
    <row r="204" spans="1:43" ht="3.75" customHeight="1" thickBot="1" thickTop="1">
      <c r="A204" s="3"/>
      <c r="B204" s="3"/>
      <c r="C204" s="73"/>
      <c r="D204" s="16"/>
      <c r="E204" s="11"/>
      <c r="F204" s="25"/>
      <c r="G204" s="63"/>
      <c r="H204" s="157"/>
      <c r="I204" s="158"/>
      <c r="J204" s="158"/>
      <c r="K204" s="158"/>
      <c r="L204" s="158"/>
      <c r="M204" s="162"/>
      <c r="N204" s="60"/>
      <c r="O204" s="48"/>
      <c r="P204" s="157"/>
      <c r="Q204" s="158"/>
      <c r="R204" s="158"/>
      <c r="S204" s="158"/>
      <c r="T204" s="158"/>
      <c r="U204" s="218"/>
      <c r="V204" s="49"/>
      <c r="W204" s="85"/>
      <c r="X204" s="183"/>
      <c r="Y204" s="184"/>
      <c r="Z204" s="184"/>
      <c r="AA204" s="184"/>
      <c r="AB204" s="175"/>
      <c r="AC204" s="90"/>
      <c r="AD204" s="98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  <c r="AP204" s="112"/>
      <c r="AQ204" s="99"/>
    </row>
    <row r="205" spans="1:45" ht="30.75" customHeight="1" thickBot="1" thickTop="1">
      <c r="A205" s="109"/>
      <c r="B205" s="109" t="s">
        <v>53</v>
      </c>
      <c r="C205" s="76">
        <f>C203+C88</f>
        <v>125</v>
      </c>
      <c r="D205" s="38">
        <f>D203+D88</f>
        <v>65</v>
      </c>
      <c r="E205" s="39">
        <f>E203+E88</f>
        <v>60</v>
      </c>
      <c r="F205" s="40">
        <f>F203+F88</f>
        <v>92</v>
      </c>
      <c r="G205" s="65"/>
      <c r="H205" s="159">
        <f aca="true" t="shared" si="34" ref="H205:M205">H203+H88</f>
        <v>7.780000000000001</v>
      </c>
      <c r="I205" s="142">
        <f t="shared" si="34"/>
        <v>10.434999999999999</v>
      </c>
      <c r="J205" s="142">
        <f t="shared" si="34"/>
        <v>11.23</v>
      </c>
      <c r="K205" s="142">
        <f t="shared" si="34"/>
        <v>8.05</v>
      </c>
      <c r="L205" s="160">
        <f t="shared" si="34"/>
        <v>14.37</v>
      </c>
      <c r="M205" s="108">
        <f t="shared" si="34"/>
        <v>51.864999999999995</v>
      </c>
      <c r="N205" s="60"/>
      <c r="O205" s="48"/>
      <c r="P205" s="159">
        <f aca="true" t="shared" si="35" ref="P205:U205">P203+P88</f>
        <v>7.360000000000001</v>
      </c>
      <c r="Q205" s="142">
        <f t="shared" si="35"/>
        <v>7.834999999999999</v>
      </c>
      <c r="R205" s="142">
        <f t="shared" si="35"/>
        <v>10.280000000000001</v>
      </c>
      <c r="S205" s="142">
        <f t="shared" si="35"/>
        <v>7.750000000000001</v>
      </c>
      <c r="T205" s="160">
        <f t="shared" si="35"/>
        <v>12.969999999999999</v>
      </c>
      <c r="U205" s="219">
        <f t="shared" si="35"/>
        <v>46.195</v>
      </c>
      <c r="V205" s="49"/>
      <c r="W205" s="85"/>
      <c r="X205" s="187">
        <f>X203+X88</f>
        <v>10.970000000000002</v>
      </c>
      <c r="Y205" s="188">
        <f>Y203+Y88</f>
        <v>15.110000000000001</v>
      </c>
      <c r="Z205" s="188">
        <f>Z203+Z88</f>
        <v>14.999999999999996</v>
      </c>
      <c r="AA205" s="189">
        <f>AA203+AA88</f>
        <v>3.6</v>
      </c>
      <c r="AB205" s="190">
        <f>SUM(X205:AA205)</f>
        <v>44.68</v>
      </c>
      <c r="AC205" s="90"/>
      <c r="AD205" s="98"/>
      <c r="AE205" s="113">
        <f aca="true" t="shared" si="36" ref="AE205:AP205">AE203+AE88</f>
        <v>1.0350000000000004</v>
      </c>
      <c r="AF205" s="114">
        <f t="shared" si="36"/>
        <v>1.71</v>
      </c>
      <c r="AG205" s="114">
        <f t="shared" si="36"/>
        <v>0.8999999999999999</v>
      </c>
      <c r="AH205" s="114">
        <f t="shared" si="36"/>
        <v>0.3</v>
      </c>
      <c r="AI205" s="114">
        <f t="shared" si="36"/>
        <v>2.5</v>
      </c>
      <c r="AJ205" s="114">
        <f t="shared" si="36"/>
        <v>1.05</v>
      </c>
      <c r="AK205" s="114">
        <f t="shared" si="36"/>
        <v>2.55</v>
      </c>
      <c r="AL205" s="114">
        <f t="shared" si="36"/>
        <v>2.15</v>
      </c>
      <c r="AM205" s="114">
        <f t="shared" si="36"/>
        <v>2</v>
      </c>
      <c r="AN205" s="114">
        <f t="shared" si="36"/>
        <v>0.55</v>
      </c>
      <c r="AO205" s="114">
        <f t="shared" si="36"/>
        <v>0.25</v>
      </c>
      <c r="AP205" s="127">
        <f t="shared" si="36"/>
        <v>14.995</v>
      </c>
      <c r="AQ205" s="99"/>
      <c r="AS205" s="37"/>
    </row>
    <row r="206" spans="3:43" ht="12" customHeight="1" thickBot="1" thickTop="1">
      <c r="C206" s="77"/>
      <c r="D206" s="78"/>
      <c r="E206" s="78"/>
      <c r="F206" s="79"/>
      <c r="G206" s="83"/>
      <c r="H206" s="66"/>
      <c r="I206" s="66"/>
      <c r="J206" s="66"/>
      <c r="K206" s="66"/>
      <c r="L206" s="66"/>
      <c r="M206" s="66"/>
      <c r="N206" s="67"/>
      <c r="O206" s="50"/>
      <c r="P206" s="92"/>
      <c r="Q206" s="92"/>
      <c r="R206" s="92"/>
      <c r="S206" s="92"/>
      <c r="T206" s="92"/>
      <c r="U206" s="220"/>
      <c r="V206" s="51"/>
      <c r="W206" s="86"/>
      <c r="X206" s="92"/>
      <c r="Y206" s="92"/>
      <c r="Z206" s="92"/>
      <c r="AA206" s="92"/>
      <c r="AB206" s="92"/>
      <c r="AC206" s="91"/>
      <c r="AD206" s="100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2"/>
      <c r="AQ206" s="103"/>
    </row>
    <row r="207" ht="12.75"/>
    <row r="208" ht="12.75"/>
    <row r="209" spans="3:8" ht="43.5" customHeight="1">
      <c r="C209" s="200"/>
      <c r="D209"/>
      <c r="E209"/>
      <c r="F209" s="37"/>
      <c r="G209"/>
      <c r="H209" s="37"/>
    </row>
    <row r="210" spans="3:8" ht="12.75">
      <c r="C210"/>
      <c r="D210"/>
      <c r="E210"/>
      <c r="F210"/>
      <c r="G210"/>
      <c r="H210" s="37"/>
    </row>
    <row r="211" spans="3:7" ht="39" customHeight="1">
      <c r="C211"/>
      <c r="D211"/>
      <c r="E211"/>
      <c r="F211"/>
      <c r="G211"/>
    </row>
    <row r="212" spans="3:8" ht="26.25" customHeight="1">
      <c r="C212"/>
      <c r="D212"/>
      <c r="E212"/>
      <c r="F212"/>
      <c r="G212"/>
      <c r="H212" s="141"/>
    </row>
    <row r="213" spans="3:7" ht="12.75">
      <c r="C213"/>
      <c r="D213"/>
      <c r="E213"/>
      <c r="F213"/>
      <c r="G213"/>
    </row>
    <row r="214" spans="3:7" ht="16.5" customHeight="1">
      <c r="C214"/>
      <c r="D214"/>
      <c r="E214"/>
      <c r="F214"/>
      <c r="G214"/>
    </row>
    <row r="215" ht="15.75" customHeight="1"/>
    <row r="216" ht="15.75" customHeight="1"/>
    <row r="285" ht="12.75"/>
    <row r="286" ht="12.75"/>
  </sheetData>
  <sheetProtection/>
  <mergeCells count="368">
    <mergeCell ref="H200:L200"/>
    <mergeCell ref="X199:AA199"/>
    <mergeCell ref="X117:AA119"/>
    <mergeCell ref="H170:L170"/>
    <mergeCell ref="H187:L187"/>
    <mergeCell ref="H188:L188"/>
    <mergeCell ref="H195:L195"/>
    <mergeCell ref="H163:L163"/>
    <mergeCell ref="H164:L164"/>
    <mergeCell ref="H199:L199"/>
    <mergeCell ref="H202:L202"/>
    <mergeCell ref="H167:L167"/>
    <mergeCell ref="H181:L181"/>
    <mergeCell ref="H182:L182"/>
    <mergeCell ref="H183:L183"/>
    <mergeCell ref="H184:L184"/>
    <mergeCell ref="H196:L196"/>
    <mergeCell ref="H191:L191"/>
    <mergeCell ref="H192:L192"/>
    <mergeCell ref="H176:L176"/>
    <mergeCell ref="H153:L153"/>
    <mergeCell ref="H154:L154"/>
    <mergeCell ref="H151:L151"/>
    <mergeCell ref="H152:L152"/>
    <mergeCell ref="H161:L161"/>
    <mergeCell ref="H162:L162"/>
    <mergeCell ref="H157:L157"/>
    <mergeCell ref="H158:L158"/>
    <mergeCell ref="H112:L112"/>
    <mergeCell ref="H113:L113"/>
    <mergeCell ref="H114:L114"/>
    <mergeCell ref="H173:L173"/>
    <mergeCell ref="H121:L121"/>
    <mergeCell ref="H150:L150"/>
    <mergeCell ref="H136:L136"/>
    <mergeCell ref="H138:L138"/>
    <mergeCell ref="H124:L124"/>
    <mergeCell ref="H125:L125"/>
    <mergeCell ref="H106:L106"/>
    <mergeCell ref="H107:L107"/>
    <mergeCell ref="H108:L108"/>
    <mergeCell ref="H111:L111"/>
    <mergeCell ref="H120:L120"/>
    <mergeCell ref="H147:L147"/>
    <mergeCell ref="H177:L177"/>
    <mergeCell ref="H178:L178"/>
    <mergeCell ref="H126:L126"/>
    <mergeCell ref="H127:L127"/>
    <mergeCell ref="H144:L144"/>
    <mergeCell ref="H143:L143"/>
    <mergeCell ref="H130:L130"/>
    <mergeCell ref="H131:L131"/>
    <mergeCell ref="H93:L93"/>
    <mergeCell ref="H94:L94"/>
    <mergeCell ref="H174:L174"/>
    <mergeCell ref="H175:L175"/>
    <mergeCell ref="H101:L101"/>
    <mergeCell ref="H102:L102"/>
    <mergeCell ref="H103:L103"/>
    <mergeCell ref="H117:L117"/>
    <mergeCell ref="H118:L118"/>
    <mergeCell ref="H119:L119"/>
    <mergeCell ref="H85:L85"/>
    <mergeCell ref="H86:L86"/>
    <mergeCell ref="H87:L87"/>
    <mergeCell ref="H92:L92"/>
    <mergeCell ref="H95:L95"/>
    <mergeCell ref="H96:L96"/>
    <mergeCell ref="H69:L69"/>
    <mergeCell ref="H70:L70"/>
    <mergeCell ref="H71:L71"/>
    <mergeCell ref="H72:L72"/>
    <mergeCell ref="H73:L73"/>
    <mergeCell ref="H82:L82"/>
    <mergeCell ref="H83:L83"/>
    <mergeCell ref="H84:L84"/>
    <mergeCell ref="H43:L43"/>
    <mergeCell ref="H44:L44"/>
    <mergeCell ref="H45:L45"/>
    <mergeCell ref="H48:L48"/>
    <mergeCell ref="H65:L65"/>
    <mergeCell ref="H68:L68"/>
    <mergeCell ref="H51:L51"/>
    <mergeCell ref="H54:L54"/>
    <mergeCell ref="H57:L57"/>
    <mergeCell ref="H58:L58"/>
    <mergeCell ref="H59:L59"/>
    <mergeCell ref="H60:L60"/>
    <mergeCell ref="H61:L61"/>
    <mergeCell ref="H62:L62"/>
    <mergeCell ref="H23:L23"/>
    <mergeCell ref="H24:L24"/>
    <mergeCell ref="H49:L49"/>
    <mergeCell ref="H50:L50"/>
    <mergeCell ref="H37:L37"/>
    <mergeCell ref="H38:L38"/>
    <mergeCell ref="H39:L39"/>
    <mergeCell ref="H40:L40"/>
    <mergeCell ref="H32:L32"/>
    <mergeCell ref="H35:L35"/>
    <mergeCell ref="H36:L36"/>
    <mergeCell ref="P25:T25"/>
    <mergeCell ref="P26:T26"/>
    <mergeCell ref="H25:L25"/>
    <mergeCell ref="H26:L26"/>
    <mergeCell ref="H29:L29"/>
    <mergeCell ref="H31:L31"/>
    <mergeCell ref="H30:L30"/>
    <mergeCell ref="P30:T30"/>
    <mergeCell ref="P12:T12"/>
    <mergeCell ref="H1:M1"/>
    <mergeCell ref="H5:L5"/>
    <mergeCell ref="H6:L6"/>
    <mergeCell ref="H9:L9"/>
    <mergeCell ref="H12:L12"/>
    <mergeCell ref="P22:T22"/>
    <mergeCell ref="P23:T23"/>
    <mergeCell ref="P24:T24"/>
    <mergeCell ref="H146:L146"/>
    <mergeCell ref="P146:T146"/>
    <mergeCell ref="H79:L79"/>
    <mergeCell ref="P79:T79"/>
    <mergeCell ref="H77:L77"/>
    <mergeCell ref="P77:T77"/>
    <mergeCell ref="H22:L22"/>
    <mergeCell ref="P44:T44"/>
    <mergeCell ref="P45:T45"/>
    <mergeCell ref="P29:T29"/>
    <mergeCell ref="P31:T31"/>
    <mergeCell ref="P32:T32"/>
    <mergeCell ref="P35:T35"/>
    <mergeCell ref="P36:T36"/>
    <mergeCell ref="P37:T37"/>
    <mergeCell ref="P38:T38"/>
    <mergeCell ref="P39:T39"/>
    <mergeCell ref="P40:T40"/>
    <mergeCell ref="P43:T43"/>
    <mergeCell ref="P62:T62"/>
    <mergeCell ref="P65:T65"/>
    <mergeCell ref="P48:T48"/>
    <mergeCell ref="P49:T49"/>
    <mergeCell ref="P50:T50"/>
    <mergeCell ref="P51:T51"/>
    <mergeCell ref="P54:T54"/>
    <mergeCell ref="P57:T57"/>
    <mergeCell ref="P58:T58"/>
    <mergeCell ref="P59:T59"/>
    <mergeCell ref="P60:T60"/>
    <mergeCell ref="P61:T61"/>
    <mergeCell ref="P84:T84"/>
    <mergeCell ref="P68:T68"/>
    <mergeCell ref="P69:T69"/>
    <mergeCell ref="P70:T70"/>
    <mergeCell ref="P71:T71"/>
    <mergeCell ref="P72:T72"/>
    <mergeCell ref="P73:T73"/>
    <mergeCell ref="P82:T82"/>
    <mergeCell ref="P83:T83"/>
    <mergeCell ref="P96:T96"/>
    <mergeCell ref="P85:T85"/>
    <mergeCell ref="P86:T86"/>
    <mergeCell ref="P87:T87"/>
    <mergeCell ref="P92:T92"/>
    <mergeCell ref="P93:T93"/>
    <mergeCell ref="P94:T94"/>
    <mergeCell ref="P95:T95"/>
    <mergeCell ref="P108:T108"/>
    <mergeCell ref="P111:T111"/>
    <mergeCell ref="P112:T112"/>
    <mergeCell ref="P113:T113"/>
    <mergeCell ref="P101:T101"/>
    <mergeCell ref="P102:T102"/>
    <mergeCell ref="P103:T103"/>
    <mergeCell ref="P107:T107"/>
    <mergeCell ref="P106:T106"/>
    <mergeCell ref="P125:T125"/>
    <mergeCell ref="P143:T143"/>
    <mergeCell ref="P177:T177"/>
    <mergeCell ref="P147:T147"/>
    <mergeCell ref="P136:T136"/>
    <mergeCell ref="P151:T151"/>
    <mergeCell ref="P152:T152"/>
    <mergeCell ref="P126:T126"/>
    <mergeCell ref="P153:T153"/>
    <mergeCell ref="P150:T150"/>
    <mergeCell ref="P144:T144"/>
    <mergeCell ref="P178:T178"/>
    <mergeCell ref="P154:T154"/>
    <mergeCell ref="P175:T175"/>
    <mergeCell ref="P173:T173"/>
    <mergeCell ref="P174:T174"/>
    <mergeCell ref="P157:T157"/>
    <mergeCell ref="P158:T158"/>
    <mergeCell ref="P195:T195"/>
    <mergeCell ref="P196:T196"/>
    <mergeCell ref="P161:T161"/>
    <mergeCell ref="P162:T162"/>
    <mergeCell ref="P184:T184"/>
    <mergeCell ref="P163:T163"/>
    <mergeCell ref="P164:T164"/>
    <mergeCell ref="P191:T191"/>
    <mergeCell ref="P192:T192"/>
    <mergeCell ref="P176:T176"/>
    <mergeCell ref="P199:T199"/>
    <mergeCell ref="P202:T202"/>
    <mergeCell ref="P167:T167"/>
    <mergeCell ref="P170:T170"/>
    <mergeCell ref="P187:T187"/>
    <mergeCell ref="P188:T188"/>
    <mergeCell ref="P169:T169"/>
    <mergeCell ref="P181:T181"/>
    <mergeCell ref="P182:T182"/>
    <mergeCell ref="P183:T183"/>
    <mergeCell ref="C1:F1"/>
    <mergeCell ref="X5:AA5"/>
    <mergeCell ref="X6:AA6"/>
    <mergeCell ref="X9:AA9"/>
    <mergeCell ref="P5:T5"/>
    <mergeCell ref="P6:T6"/>
    <mergeCell ref="P9:T9"/>
    <mergeCell ref="O1:U1"/>
    <mergeCell ref="X12:AA12"/>
    <mergeCell ref="X22:AA22"/>
    <mergeCell ref="X23:AA23"/>
    <mergeCell ref="H145:L145"/>
    <mergeCell ref="P145:T145"/>
    <mergeCell ref="X145:AA145"/>
    <mergeCell ref="H76:L76"/>
    <mergeCell ref="P76:T76"/>
    <mergeCell ref="H78:L78"/>
    <mergeCell ref="P78:T78"/>
    <mergeCell ref="X58:AA58"/>
    <mergeCell ref="X59:AA59"/>
    <mergeCell ref="X60:AA60"/>
    <mergeCell ref="X24:AA24"/>
    <mergeCell ref="X25:AA25"/>
    <mergeCell ref="X26:AA26"/>
    <mergeCell ref="X29:AA29"/>
    <mergeCell ref="X57:AA57"/>
    <mergeCell ref="X31:AA31"/>
    <mergeCell ref="X32:AA32"/>
    <mergeCell ref="X51:AA51"/>
    <mergeCell ref="X54:AA54"/>
    <mergeCell ref="X43:AA43"/>
    <mergeCell ref="X44:AA44"/>
    <mergeCell ref="X45:AA45"/>
    <mergeCell ref="X48:AA48"/>
    <mergeCell ref="X49:AA49"/>
    <mergeCell ref="X50:AA50"/>
    <mergeCell ref="X35:AA37"/>
    <mergeCell ref="X38:AA38"/>
    <mergeCell ref="X39:AA39"/>
    <mergeCell ref="X40:AA40"/>
    <mergeCell ref="X72:AA72"/>
    <mergeCell ref="X85:AA85"/>
    <mergeCell ref="X73:AA73"/>
    <mergeCell ref="X76:AA79"/>
    <mergeCell ref="X61:AA61"/>
    <mergeCell ref="X62:AA62"/>
    <mergeCell ref="X65:AA65"/>
    <mergeCell ref="X68:AA71"/>
    <mergeCell ref="X95:AA95"/>
    <mergeCell ref="X92:AA94"/>
    <mergeCell ref="X82:AA84"/>
    <mergeCell ref="X102:AA102"/>
    <mergeCell ref="X96:AA96"/>
    <mergeCell ref="X86:AA86"/>
    <mergeCell ref="X103:AA103"/>
    <mergeCell ref="X152:AA152"/>
    <mergeCell ref="X107:AA107"/>
    <mergeCell ref="X108:AA108"/>
    <mergeCell ref="X114:AA114"/>
    <mergeCell ref="X120:AA120"/>
    <mergeCell ref="X111:AA113"/>
    <mergeCell ref="X106:AA106"/>
    <mergeCell ref="X124:AA125"/>
    <mergeCell ref="X121:AA121"/>
    <mergeCell ref="X130:AA130"/>
    <mergeCell ref="X146:AA146"/>
    <mergeCell ref="X133:AA133"/>
    <mergeCell ref="X157:AA157"/>
    <mergeCell ref="X153:AA153"/>
    <mergeCell ref="X154:AA154"/>
    <mergeCell ref="X126:AA126"/>
    <mergeCell ref="X127:AA127"/>
    <mergeCell ref="X191:AA191"/>
    <mergeCell ref="X192:AA192"/>
    <mergeCell ref="X176:AA176"/>
    <mergeCell ref="X177:AA177"/>
    <mergeCell ref="X178:AA178"/>
    <mergeCell ref="X188:AA188"/>
    <mergeCell ref="X182:AA182"/>
    <mergeCell ref="X183:AA183"/>
    <mergeCell ref="X184:AA184"/>
    <mergeCell ref="X161:AA162"/>
    <mergeCell ref="X181:AA181"/>
    <mergeCell ref="X170:AA170"/>
    <mergeCell ref="X167:AA167"/>
    <mergeCell ref="X169:AA169"/>
    <mergeCell ref="X175:AA175"/>
    <mergeCell ref="X163:AA163"/>
    <mergeCell ref="X164:AA164"/>
    <mergeCell ref="X173:AA173"/>
    <mergeCell ref="X174:AA174"/>
    <mergeCell ref="X138:AA138"/>
    <mergeCell ref="X136:AA136"/>
    <mergeCell ref="X143:AA143"/>
    <mergeCell ref="X137:AA137"/>
    <mergeCell ref="X147:AA147"/>
    <mergeCell ref="X150:AA150"/>
    <mergeCell ref="X151:AA151"/>
    <mergeCell ref="X144:AA144"/>
    <mergeCell ref="X158:AA158"/>
    <mergeCell ref="H139:L139"/>
    <mergeCell ref="P139:T139"/>
    <mergeCell ref="X139:AA139"/>
    <mergeCell ref="H140:L140"/>
    <mergeCell ref="P140:T140"/>
    <mergeCell ref="X140:AA140"/>
    <mergeCell ref="X17:AA17"/>
    <mergeCell ref="H15:L15"/>
    <mergeCell ref="P15:T15"/>
    <mergeCell ref="X15:AA15"/>
    <mergeCell ref="H16:L16"/>
    <mergeCell ref="P16:T16"/>
    <mergeCell ref="X16:AA16"/>
    <mergeCell ref="H17:L17"/>
    <mergeCell ref="P17:T17"/>
    <mergeCell ref="X19:AA19"/>
    <mergeCell ref="H18:L18"/>
    <mergeCell ref="P18:T18"/>
    <mergeCell ref="X18:AA18"/>
    <mergeCell ref="P19:T19"/>
    <mergeCell ref="H19:L19"/>
    <mergeCell ref="P114:T114"/>
    <mergeCell ref="P131:T131"/>
    <mergeCell ref="P132:T132"/>
    <mergeCell ref="P133:T133"/>
    <mergeCell ref="P117:T117"/>
    <mergeCell ref="P118:T118"/>
    <mergeCell ref="P119:T119"/>
    <mergeCell ref="P120:T120"/>
    <mergeCell ref="P121:T121"/>
    <mergeCell ref="P124:T124"/>
    <mergeCell ref="H132:L132"/>
    <mergeCell ref="P127:T127"/>
    <mergeCell ref="P138:T138"/>
    <mergeCell ref="P130:T130"/>
    <mergeCell ref="X195:AA195"/>
    <mergeCell ref="H99:L99"/>
    <mergeCell ref="P99:T99"/>
    <mergeCell ref="X99:AA101"/>
    <mergeCell ref="H100:L100"/>
    <mergeCell ref="P100:T100"/>
    <mergeCell ref="H137:L137"/>
    <mergeCell ref="P137:T137"/>
    <mergeCell ref="X131:AA131"/>
    <mergeCell ref="X132:AA132"/>
    <mergeCell ref="X187:AA187"/>
    <mergeCell ref="H133:L133"/>
    <mergeCell ref="H201:L201"/>
    <mergeCell ref="P201:T201"/>
    <mergeCell ref="X201:AA201"/>
    <mergeCell ref="H168:L168"/>
    <mergeCell ref="H169:L169"/>
    <mergeCell ref="P168:T168"/>
    <mergeCell ref="X168:AA168"/>
    <mergeCell ref="X196:AA196"/>
  </mergeCells>
  <printOptions horizontalCentered="1"/>
  <pageMargins left="0.45" right="0.24" top="0.89" bottom="0.48" header="0.51" footer="0.32"/>
  <pageSetup horizontalDpi="600" verticalDpi="600" orientation="portrait" scale="50" r:id="rId3"/>
  <headerFooter alignWithMargins="0">
    <oddHeader>&amp;C&amp;"Arial,Bold"&amp;18&amp;F
 &amp;A</oddHeader>
    <oddFooter>&amp;CPage &amp;P of &amp;N</oddFooter>
  </headerFooter>
  <colBreaks count="1" manualBreakCount="1">
    <brk id="22" max="20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125" zoomScaleNormal="125" zoomScalePageLayoutView="0" workbookViewId="0" topLeftCell="A1">
      <selection activeCell="O10" sqref="O10"/>
    </sheetView>
  </sheetViews>
  <sheetFormatPr defaultColWidth="9.140625" defaultRowHeight="12.75"/>
  <cols>
    <col min="1" max="1" width="22.8515625" style="0" customWidth="1"/>
    <col min="4" max="4" width="10.8515625" style="0" customWidth="1"/>
    <col min="7" max="7" width="22.8515625" style="0" customWidth="1"/>
    <col min="10" max="10" width="0" style="0" hidden="1" customWidth="1"/>
    <col min="11" max="11" width="10.421875" style="0" customWidth="1"/>
  </cols>
  <sheetData>
    <row r="1" spans="1:12" ht="27" customHeight="1" thickBot="1">
      <c r="A1" s="300" t="s">
        <v>57</v>
      </c>
      <c r="B1" s="302" t="s">
        <v>41</v>
      </c>
      <c r="C1" s="303"/>
      <c r="D1" s="43" t="s">
        <v>42</v>
      </c>
      <c r="E1" s="45"/>
      <c r="G1" s="304" t="s">
        <v>58</v>
      </c>
      <c r="H1" s="302" t="s">
        <v>41</v>
      </c>
      <c r="I1" s="303"/>
      <c r="J1" s="28"/>
      <c r="K1" s="43" t="s">
        <v>42</v>
      </c>
      <c r="L1" s="45"/>
    </row>
    <row r="2" spans="1:12" ht="24.75" thickBot="1">
      <c r="A2" s="301"/>
      <c r="B2" s="41" t="s">
        <v>45</v>
      </c>
      <c r="C2" s="42" t="s">
        <v>46</v>
      </c>
      <c r="D2" s="44" t="s">
        <v>43</v>
      </c>
      <c r="E2" s="46" t="s">
        <v>44</v>
      </c>
      <c r="G2" s="305"/>
      <c r="H2" s="41" t="s">
        <v>45</v>
      </c>
      <c r="I2" s="42" t="s">
        <v>46</v>
      </c>
      <c r="J2" s="29"/>
      <c r="K2" s="44" t="s">
        <v>43</v>
      </c>
      <c r="L2" s="46" t="s">
        <v>44</v>
      </c>
    </row>
    <row r="3" spans="1:12" ht="27.75" customHeight="1" thickBot="1">
      <c r="A3" s="30" t="s">
        <v>47</v>
      </c>
      <c r="B3" s="31">
        <v>7.92</v>
      </c>
      <c r="C3" s="31">
        <v>2.75</v>
      </c>
      <c r="D3" s="31">
        <v>2.25</v>
      </c>
      <c r="E3" s="31">
        <v>5</v>
      </c>
      <c r="G3" s="30" t="s">
        <v>47</v>
      </c>
      <c r="H3" s="34">
        <v>7.92</v>
      </c>
      <c r="I3" s="34">
        <v>3.38</v>
      </c>
      <c r="J3" s="34">
        <f>H3+I3</f>
        <v>11.3</v>
      </c>
      <c r="K3" s="34">
        <v>3</v>
      </c>
      <c r="L3" s="34">
        <f>I3+K3</f>
        <v>6.38</v>
      </c>
    </row>
    <row r="4" spans="1:12" ht="27.75" customHeight="1" thickBot="1">
      <c r="A4" s="30" t="s">
        <v>48</v>
      </c>
      <c r="B4" s="31">
        <v>12.6</v>
      </c>
      <c r="C4" s="31">
        <v>3.04</v>
      </c>
      <c r="D4" s="31">
        <v>2.11</v>
      </c>
      <c r="E4" s="31">
        <v>5.15</v>
      </c>
      <c r="G4" s="30" t="s">
        <v>48</v>
      </c>
      <c r="H4" s="34">
        <v>12.6</v>
      </c>
      <c r="I4" s="34">
        <v>4.2</v>
      </c>
      <c r="J4" s="34">
        <f>H4+I4</f>
        <v>16.8</v>
      </c>
      <c r="K4" s="34">
        <v>2.41</v>
      </c>
      <c r="L4" s="34">
        <f aca="true" t="shared" si="0" ref="L4:L9">I4+K4</f>
        <v>6.61</v>
      </c>
    </row>
    <row r="5" spans="1:12" ht="27.75" customHeight="1" thickBot="1">
      <c r="A5" s="30" t="s">
        <v>2</v>
      </c>
      <c r="B5" s="31">
        <v>15.3</v>
      </c>
      <c r="C5" s="31">
        <v>1.4</v>
      </c>
      <c r="D5" s="31">
        <v>6.65</v>
      </c>
      <c r="E5" s="31">
        <v>8.05</v>
      </c>
      <c r="G5" s="30" t="s">
        <v>2</v>
      </c>
      <c r="H5" s="34">
        <v>15.3</v>
      </c>
      <c r="I5" s="34">
        <v>1.95</v>
      </c>
      <c r="J5" s="34">
        <f>H5+I5</f>
        <v>17.25</v>
      </c>
      <c r="K5" s="34">
        <v>6.05</v>
      </c>
      <c r="L5" s="34">
        <f t="shared" si="0"/>
        <v>8</v>
      </c>
    </row>
    <row r="6" spans="1:12" ht="27.75" customHeight="1" thickBot="1">
      <c r="A6" s="30" t="s">
        <v>3</v>
      </c>
      <c r="B6" s="31">
        <v>0.3</v>
      </c>
      <c r="C6" s="31">
        <v>4.4</v>
      </c>
      <c r="D6" s="31">
        <v>2.3</v>
      </c>
      <c r="E6" s="31">
        <v>6.7</v>
      </c>
      <c r="G6" s="30" t="s">
        <v>3</v>
      </c>
      <c r="H6" s="34">
        <v>0.3</v>
      </c>
      <c r="I6" s="34">
        <v>3.9</v>
      </c>
      <c r="J6" s="34">
        <f>H6+I6</f>
        <v>4.2</v>
      </c>
      <c r="K6" s="34">
        <v>2.75</v>
      </c>
      <c r="L6" s="34">
        <f t="shared" si="0"/>
        <v>6.65</v>
      </c>
    </row>
    <row r="7" spans="1:12" ht="27.75" customHeight="1" thickBot="1">
      <c r="A7" s="30" t="s">
        <v>49</v>
      </c>
      <c r="B7" s="31">
        <v>1.9</v>
      </c>
      <c r="C7" s="31">
        <v>4.75</v>
      </c>
      <c r="D7" s="31">
        <v>4.8</v>
      </c>
      <c r="E7" s="31">
        <v>9.55</v>
      </c>
      <c r="G7" s="30" t="s">
        <v>49</v>
      </c>
      <c r="H7" s="34">
        <v>1.9</v>
      </c>
      <c r="I7" s="34">
        <v>6.05</v>
      </c>
      <c r="J7" s="34">
        <f>H7+I7</f>
        <v>7.949999999999999</v>
      </c>
      <c r="K7" s="34">
        <v>5.25</v>
      </c>
      <c r="L7" s="34">
        <f t="shared" si="0"/>
        <v>11.3</v>
      </c>
    </row>
    <row r="8" spans="1:12" ht="27.75" customHeight="1" thickBot="1">
      <c r="A8" s="30" t="s">
        <v>50</v>
      </c>
      <c r="B8" s="31"/>
      <c r="C8" s="31">
        <v>3</v>
      </c>
      <c r="D8" s="31">
        <v>2.5</v>
      </c>
      <c r="E8" s="31">
        <v>5.5</v>
      </c>
      <c r="G8" s="30" t="s">
        <v>50</v>
      </c>
      <c r="H8" s="34"/>
      <c r="I8" s="34">
        <v>0.47</v>
      </c>
      <c r="J8" s="34"/>
      <c r="K8" s="34">
        <v>0.54</v>
      </c>
      <c r="L8" s="34">
        <f t="shared" si="0"/>
        <v>1.01</v>
      </c>
    </row>
    <row r="9" spans="1:12" ht="13.5" thickBot="1">
      <c r="A9" s="32" t="s">
        <v>51</v>
      </c>
      <c r="B9" s="33">
        <v>38.02</v>
      </c>
      <c r="C9" s="33">
        <v>19.34</v>
      </c>
      <c r="D9" s="33">
        <v>20.61</v>
      </c>
      <c r="E9" s="33">
        <v>39.95</v>
      </c>
      <c r="G9" s="32" t="s">
        <v>51</v>
      </c>
      <c r="H9" s="35">
        <f>SUM(H3:H8)</f>
        <v>38.019999999999996</v>
      </c>
      <c r="I9" s="35">
        <f>SUM(I3:I8)</f>
        <v>19.95</v>
      </c>
      <c r="J9" s="34">
        <f>H9+I9</f>
        <v>57.97</v>
      </c>
      <c r="K9" s="35">
        <f>SUM(K3:K8)</f>
        <v>20</v>
      </c>
      <c r="L9" s="35">
        <f t="shared" si="0"/>
        <v>39.95</v>
      </c>
    </row>
    <row r="10" spans="8:9" ht="12.75">
      <c r="H10" s="36"/>
      <c r="I10" s="37"/>
    </row>
  </sheetData>
  <sheetProtection/>
  <mergeCells count="4">
    <mergeCell ref="A1:A2"/>
    <mergeCell ref="B1:C1"/>
    <mergeCell ref="G1:G2"/>
    <mergeCell ref="H1:I1"/>
  </mergeCells>
  <printOptions/>
  <pageMargins left="0.75" right="0.75" top="1" bottom="1" header="0.5" footer="0.5"/>
  <pageSetup fitToHeight="1" fitToWidth="1" horizontalDpi="1200" verticalDpi="1200" orientation="landscape" scale="93" r:id="rId1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2009-10-06T16:05:33Z</cp:lastPrinted>
  <dcterms:created xsi:type="dcterms:W3CDTF">2009-04-02T03:14:25Z</dcterms:created>
  <dcterms:modified xsi:type="dcterms:W3CDTF">2009-11-20T16:35:19Z</dcterms:modified>
  <cp:category/>
  <cp:version/>
  <cp:contentType/>
  <cp:contentStatus/>
</cp:coreProperties>
</file>